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Arkusz1!$A$1:$L$147</definedName>
    <definedName name="_xlnm.Print_Titles" localSheetId="0">Arkusz1!$7:$9</definedName>
  </definedNames>
  <calcPr calcId="145621"/>
</workbook>
</file>

<file path=xl/calcChain.xml><?xml version="1.0" encoding="utf-8"?>
<calcChain xmlns="http://schemas.openxmlformats.org/spreadsheetml/2006/main">
  <c r="G92" i="1" l="1"/>
  <c r="G14" i="1"/>
  <c r="G13" i="1" l="1"/>
  <c r="I10" i="1"/>
  <c r="L10" i="1"/>
  <c r="L11" i="1"/>
  <c r="L12" i="1"/>
  <c r="L14" i="1"/>
  <c r="L13" i="1"/>
  <c r="L15" i="1"/>
  <c r="J13" i="1"/>
  <c r="J10" i="1" s="1"/>
  <c r="I12" i="1"/>
  <c r="I13" i="1"/>
  <c r="H12" i="1"/>
  <c r="H13" i="1"/>
  <c r="H10" i="1" s="1"/>
  <c r="I11" i="1"/>
  <c r="J12" i="1"/>
  <c r="J11" i="1"/>
  <c r="K11" i="1"/>
  <c r="K12" i="1"/>
  <c r="K13" i="1"/>
  <c r="K10" i="1"/>
  <c r="G10" i="1"/>
  <c r="H11" i="1"/>
  <c r="F14" i="1"/>
  <c r="F11" i="1" s="1"/>
  <c r="F13" i="1"/>
  <c r="F10" i="1" s="1"/>
  <c r="F12" i="1"/>
  <c r="F15" i="1"/>
  <c r="G19" i="1"/>
  <c r="L19" i="1" s="1"/>
  <c r="G22" i="1"/>
  <c r="G27" i="1"/>
  <c r="G29" i="1"/>
  <c r="G30" i="1"/>
  <c r="G37" i="1"/>
  <c r="G35" i="1" s="1"/>
  <c r="G47" i="1"/>
  <c r="G49" i="1"/>
  <c r="G51" i="1"/>
  <c r="L51" i="1" s="1"/>
  <c r="G53" i="1"/>
  <c r="G55" i="1"/>
  <c r="L55" i="1" s="1"/>
  <c r="G57" i="1"/>
  <c r="G67" i="1"/>
  <c r="G69" i="1"/>
  <c r="G71" i="1"/>
  <c r="L71" i="1" s="1"/>
  <c r="G73" i="1"/>
  <c r="G75" i="1"/>
  <c r="G77" i="1"/>
  <c r="G79" i="1"/>
  <c r="L79" i="1" s="1"/>
  <c r="G81" i="1"/>
  <c r="G87" i="1"/>
  <c r="L87" i="1" s="1"/>
  <c r="G89" i="1"/>
  <c r="L89" i="1" s="1"/>
  <c r="G94" i="1"/>
  <c r="G95" i="1"/>
  <c r="G109" i="1"/>
  <c r="G112" i="1"/>
  <c r="G113" i="1"/>
  <c r="L113" i="1" s="1"/>
  <c r="G116" i="1"/>
  <c r="G117" i="1"/>
  <c r="G118" i="1"/>
  <c r="G129" i="1"/>
  <c r="G130" i="1"/>
  <c r="G132" i="1"/>
  <c r="L132" i="1" s="1"/>
  <c r="G135" i="1"/>
  <c r="G136" i="1"/>
  <c r="L136" i="1" s="1"/>
  <c r="G139" i="1"/>
  <c r="G144" i="1"/>
  <c r="G147" i="1"/>
  <c r="H147" i="1"/>
  <c r="F147" i="1"/>
  <c r="L146" i="1"/>
  <c r="H144" i="1"/>
  <c r="F144" i="1"/>
  <c r="L143" i="1"/>
  <c r="L142" i="1"/>
  <c r="L140" i="1"/>
  <c r="F140" i="1"/>
  <c r="F139" i="1"/>
  <c r="L138" i="1"/>
  <c r="F136" i="1"/>
  <c r="F135" i="1"/>
  <c r="L134" i="1"/>
  <c r="F132" i="1"/>
  <c r="L131" i="1"/>
  <c r="H130" i="1"/>
  <c r="F130" i="1"/>
  <c r="H129" i="1"/>
  <c r="L129" i="1" s="1"/>
  <c r="F129" i="1"/>
  <c r="L128" i="1"/>
  <c r="L127" i="1"/>
  <c r="F127" i="1"/>
  <c r="L126" i="1"/>
  <c r="F126" i="1"/>
  <c r="L125" i="1"/>
  <c r="K124" i="1"/>
  <c r="J124" i="1"/>
  <c r="I124" i="1"/>
  <c r="H124" i="1"/>
  <c r="F124" i="1"/>
  <c r="K123" i="1"/>
  <c r="J123" i="1"/>
  <c r="I123" i="1"/>
  <c r="H123" i="1"/>
  <c r="F123" i="1"/>
  <c r="L122" i="1"/>
  <c r="J121" i="1"/>
  <c r="I121" i="1"/>
  <c r="H121" i="1"/>
  <c r="F121" i="1"/>
  <c r="J120" i="1"/>
  <c r="I120" i="1"/>
  <c r="H120" i="1"/>
  <c r="F120" i="1"/>
  <c r="L119" i="1"/>
  <c r="F118" i="1"/>
  <c r="F117" i="1"/>
  <c r="L116" i="1"/>
  <c r="F116" i="1"/>
  <c r="L115" i="1"/>
  <c r="F113" i="1"/>
  <c r="H112" i="1"/>
  <c r="F112" i="1"/>
  <c r="L111" i="1"/>
  <c r="H109" i="1"/>
  <c r="F109" i="1"/>
  <c r="L108" i="1"/>
  <c r="F108" i="1"/>
  <c r="L107" i="1"/>
  <c r="L105" i="1"/>
  <c r="F105" i="1"/>
  <c r="L104" i="1"/>
  <c r="F104" i="1"/>
  <c r="L103" i="1"/>
  <c r="L101" i="1"/>
  <c r="F101" i="1"/>
  <c r="I100" i="1"/>
  <c r="F100" i="1"/>
  <c r="L99" i="1"/>
  <c r="I97" i="1"/>
  <c r="F97" i="1"/>
  <c r="L96" i="1"/>
  <c r="K95" i="1"/>
  <c r="J95" i="1"/>
  <c r="I95" i="1"/>
  <c r="H95" i="1"/>
  <c r="F95" i="1"/>
  <c r="K94" i="1"/>
  <c r="J94" i="1"/>
  <c r="I94" i="1"/>
  <c r="H94" i="1"/>
  <c r="F94" i="1"/>
  <c r="K93" i="1"/>
  <c r="J93" i="1"/>
  <c r="L90" i="1"/>
  <c r="L86" i="1"/>
  <c r="L85" i="1"/>
  <c r="L83" i="1"/>
  <c r="L82" i="1"/>
  <c r="H81" i="1"/>
  <c r="L81" i="1" s="1"/>
  <c r="F81" i="1"/>
  <c r="H79" i="1"/>
  <c r="F79" i="1"/>
  <c r="L78" i="1"/>
  <c r="I77" i="1"/>
  <c r="H77" i="1"/>
  <c r="F77" i="1"/>
  <c r="I75" i="1"/>
  <c r="H75" i="1"/>
  <c r="F75" i="1"/>
  <c r="L74" i="1"/>
  <c r="L73" i="1"/>
  <c r="F73" i="1"/>
  <c r="F71" i="1"/>
  <c r="L70" i="1"/>
  <c r="H69" i="1"/>
  <c r="L69" i="1" s="1"/>
  <c r="F69" i="1"/>
  <c r="H67" i="1"/>
  <c r="F67" i="1"/>
  <c r="L66" i="1"/>
  <c r="L65" i="1"/>
  <c r="F65" i="1"/>
  <c r="L63" i="1"/>
  <c r="F63" i="1"/>
  <c r="L62" i="1"/>
  <c r="L61" i="1"/>
  <c r="L59" i="1"/>
  <c r="L58" i="1"/>
  <c r="F58" i="1"/>
  <c r="F57" i="1"/>
  <c r="L56" i="1"/>
  <c r="F56" i="1"/>
  <c r="F55" i="1"/>
  <c r="L54" i="1"/>
  <c r="F54" i="1"/>
  <c r="L53" i="1"/>
  <c r="F53" i="1"/>
  <c r="F51" i="1"/>
  <c r="L50" i="1"/>
  <c r="F49" i="1"/>
  <c r="L48" i="1"/>
  <c r="F47" i="1"/>
  <c r="L46" i="1"/>
  <c r="F45" i="1"/>
  <c r="F43" i="1"/>
  <c r="L42" i="1"/>
  <c r="L41" i="1"/>
  <c r="L40" i="1"/>
  <c r="L39" i="1"/>
  <c r="L38" i="1"/>
  <c r="L37" i="1"/>
  <c r="F37" i="1"/>
  <c r="F35" i="1" s="1"/>
  <c r="L34" i="1"/>
  <c r="L33" i="1"/>
  <c r="F33" i="1"/>
  <c r="L31" i="1"/>
  <c r="F31" i="1"/>
  <c r="F30" i="1"/>
  <c r="L29" i="1"/>
  <c r="F29" i="1"/>
  <c r="F27" i="1"/>
  <c r="L26" i="1"/>
  <c r="F26" i="1"/>
  <c r="L25" i="1"/>
  <c r="F25" i="1"/>
  <c r="L23" i="1"/>
  <c r="F23" i="1"/>
  <c r="L22" i="1"/>
  <c r="F22" i="1"/>
  <c r="L21" i="1"/>
  <c r="F19" i="1"/>
  <c r="K18" i="1"/>
  <c r="J18" i="1"/>
  <c r="J15" i="1" s="1"/>
  <c r="I18" i="1"/>
  <c r="H18" i="1"/>
  <c r="K17" i="1"/>
  <c r="J17" i="1"/>
  <c r="K16" i="1"/>
  <c r="J16" i="1"/>
  <c r="H17" i="1" l="1"/>
  <c r="L130" i="1"/>
  <c r="G45" i="1"/>
  <c r="G43" i="1" s="1"/>
  <c r="G16" i="1" s="1"/>
  <c r="G18" i="1"/>
  <c r="I16" i="1"/>
  <c r="L135" i="1"/>
  <c r="G91" i="1"/>
  <c r="I93" i="1"/>
  <c r="L94" i="1"/>
  <c r="F91" i="1"/>
  <c r="J91" i="1"/>
  <c r="G93" i="1"/>
  <c r="G15" i="1" s="1"/>
  <c r="G12" i="1" s="1"/>
  <c r="L144" i="1"/>
  <c r="L35" i="1"/>
  <c r="G17" i="1"/>
  <c r="K15" i="1"/>
  <c r="H93" i="1"/>
  <c r="H15" i="1" s="1"/>
  <c r="L147" i="1"/>
  <c r="I15" i="1"/>
  <c r="L75" i="1"/>
  <c r="I91" i="1"/>
  <c r="F93" i="1"/>
  <c r="K91" i="1"/>
  <c r="I92" i="1"/>
  <c r="L95" i="1"/>
  <c r="L97" i="1"/>
  <c r="L100" i="1"/>
  <c r="L77" i="1"/>
  <c r="H91" i="1"/>
  <c r="F92" i="1"/>
  <c r="K92" i="1"/>
  <c r="K14" i="1" s="1"/>
  <c r="L123" i="1"/>
  <c r="L120" i="1"/>
  <c r="L124" i="1"/>
  <c r="F18" i="1"/>
  <c r="L47" i="1"/>
  <c r="H16" i="1"/>
  <c r="L49" i="1"/>
  <c r="F16" i="1"/>
  <c r="F17" i="1"/>
  <c r="L57" i="1"/>
  <c r="L27" i="1"/>
  <c r="L30" i="1"/>
  <c r="L18" i="1" s="1"/>
  <c r="L45" i="1"/>
  <c r="L17" i="1" s="1"/>
  <c r="I17" i="1"/>
  <c r="L67" i="1"/>
  <c r="H92" i="1"/>
  <c r="H14" i="1" s="1"/>
  <c r="L121" i="1"/>
  <c r="L139" i="1"/>
  <c r="L117" i="1"/>
  <c r="L118" i="1"/>
  <c r="J92" i="1"/>
  <c r="J14" i="1" s="1"/>
  <c r="L112" i="1"/>
  <c r="L109" i="1"/>
  <c r="G11" i="1" l="1"/>
  <c r="I14" i="1"/>
  <c r="L92" i="1"/>
  <c r="L91" i="1"/>
  <c r="L93" i="1"/>
  <c r="L43" i="1"/>
  <c r="L16" i="1" s="1"/>
</calcChain>
</file>

<file path=xl/sharedStrings.xml><?xml version="1.0" encoding="utf-8"?>
<sst xmlns="http://schemas.openxmlformats.org/spreadsheetml/2006/main" count="247" uniqueCount="126">
  <si>
    <t>Załącznik nr 2</t>
  </si>
  <si>
    <t>Rady Powiatu Brzeskiego</t>
  </si>
  <si>
    <t>Wykaz przedsięwzięć do WPF na lata 2012 - 2016</t>
  </si>
  <si>
    <t>Lp.</t>
  </si>
  <si>
    <t>Nazwa i cel przedsięwzięcia</t>
  </si>
  <si>
    <t>Okres realizacji</t>
  </si>
  <si>
    <t>Dział/ Rozdział</t>
  </si>
  <si>
    <t>Jednostka organizacyjna odpowiedzialna za realizację lub koordynująca wykonywanie przedsięwzięcia</t>
  </si>
  <si>
    <t>Łączne nakłady finansowe</t>
  </si>
  <si>
    <t>Nakłady w poszczególnych latach / Limit zobowiązań</t>
  </si>
  <si>
    <t xml:space="preserve">Limit zobowiązań 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</si>
  <si>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</si>
  <si>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</si>
  <si>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</si>
  <si>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</si>
  <si>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</si>
  <si>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</si>
  <si>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</si>
  <si>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</si>
  <si>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</si>
  <si>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"Rewitalizacja budynku byłego internatu Zespołu Szkół Ekonomicznych przy ul. Wyszyńskiego 23 w Brzegu na funkcje turystyczne"</t>
    </r>
  </si>
  <si>
    <t>2009-2012</t>
  </si>
  <si>
    <t>600/60014</t>
  </si>
  <si>
    <t>Zarząd Dróg Powiatowych                  w Brzegu</t>
  </si>
  <si>
    <t>Nadanie nowych funkcji społecznych i gospodarczych obiektowi podlegającemu rewitalizacji w tym poprawa dostępu i jakości usług turystyczno - hotelarskich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</si>
  <si>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"Funkcjonowanie sieci Punktów Informacyjnych o Funduszach Europejskich"</t>
    </r>
  </si>
  <si>
    <t>2009-2015</t>
  </si>
  <si>
    <t>750/75001</t>
  </si>
  <si>
    <t>Starostwo Powiatowe                  w Brzegu</t>
  </si>
  <si>
    <t>Szczegółowe, wyczerpujące, nieodpłatne udzielanie informacji na temat możliwości uzyskania wsparcia ze środków Unii Europejskiej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</si>
  <si>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"E-Urząd - elektroniczna platforma usług dla mieszkańców Powiatu Brzeskiego"</t>
    </r>
  </si>
  <si>
    <t>2007-2012</t>
  </si>
  <si>
    <t>750/75020</t>
  </si>
  <si>
    <t>Starostwo Powiatowe                 w Brzegu</t>
  </si>
  <si>
    <t>Stworzenie elektronicznego obiegu dokumentów w Starostwie Powiatowym w Brzegu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</si>
  <si>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</si>
  <si>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750/75095</t>
  </si>
  <si>
    <t>Zapewnienie optymalnej jakości wykonywania zadań publicznych jednostek samorzadu terytorialnego poprzez usprawnienie zarządzania  procesami ich realizacji przez urzędy projektodawców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</si>
  <si>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"Wysokie kwalifikacje nauczycieli inwestycją w lepszą przyszłość młodzieży" </t>
    </r>
  </si>
  <si>
    <t>2010-2012</t>
  </si>
  <si>
    <t>Starostwo Powiatowe                          w Brzegu</t>
  </si>
  <si>
    <t>Podniesienie wiedzy i kwalifikacji nauczycieli i kadry administracyjnej oświaty podległej organowi prowadzącemu jakim jest Powiat Brzeski</t>
  </si>
  <si>
    <t>- wydatki bieżące razem</t>
  </si>
  <si>
    <t>- wydatki majątkowe razem</t>
  </si>
  <si>
    <t>801/80195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</si>
  <si>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"Aktywnie w przyszłość" </t>
    </r>
  </si>
  <si>
    <t>2011-2012</t>
  </si>
  <si>
    <t>Wyrównywanie szans edukacyjnych uczniów z grup o utrudnionym dostępie do edukacji oraz zmniejszenie różnic w jakości usług edukacyjnych</t>
  </si>
  <si>
    <t>801/80111</t>
  </si>
  <si>
    <t>801/80120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</si>
  <si>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"Opolska e-Szkoła, szkołą ku przyszłości" </t>
    </r>
  </si>
  <si>
    <t>Starostwo Powiatowe                w Brzegu</t>
  </si>
  <si>
    <t>Budowa i rozwój portalu e-Szkoła oraz e-usług dla mieszkańców</t>
  </si>
  <si>
    <t>801/80130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</si>
  <si>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"Profesjonalni w zawodzie" </t>
    </r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</si>
  <si>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</si>
  <si>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"Aktywizacja zawodowa i społeczna wychowanków placówek opiekuńczo-wychowawczych i osób niepełnosprawnych"</t>
    </r>
  </si>
  <si>
    <t>2008-2013</t>
  </si>
  <si>
    <t>853/85395</t>
  </si>
  <si>
    <t>Powiatowe Centrum Pomocy Rodzinie                                             w Brzegu</t>
  </si>
  <si>
    <t>Aktywna integracja zawodowa, społeczna, edukacyjna i zdrowotna osób niepełnosprawnych i usamodzielnianych wychowanków placówek opiekuńczo wychowawczych oraz rodzin zastępczych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</si>
  <si>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"Dajmy Sobie Szansę"</t>
    </r>
  </si>
  <si>
    <t>2011-2013</t>
  </si>
  <si>
    <t>Ograniczenie zjawiska wykluczenia społecznego osób niepełnosprawnych o 20 osób i zmniejszenie poziomu bezrobocia osób niepełnosprawnych w powiecie brzeskim o 12 osób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</si>
  <si>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"Hiszpańskie metody pracy"</t>
    </r>
  </si>
  <si>
    <t>Powiatowy Urząd Pracy w Brzegu</t>
  </si>
  <si>
    <t>Zwiekszenie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</si>
  <si>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"Profesjonalny urząd 4"</t>
    </r>
  </si>
  <si>
    <t>2011-2014</t>
  </si>
  <si>
    <t>Wzmocnienie i rozwój Powiatowego Urzędu Pracy w Brzegu poprzez zatrudnienie dodatkowych pośredników pracy, doradców zawodowych oraz szkolenie pracowników kluczowych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</si>
  <si>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"Stała praca"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</si>
  <si>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2012-2013</t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</si>
  <si>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</si>
  <si>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"PO Klucz do biznesu2!"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</si>
  <si>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2012-2014</t>
  </si>
  <si>
    <t>Wzrost przedsiębiorczości w woj. opolskim oraz podniesienie aktywności zawodowej mieszkańców woj. opolskiego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</si>
  <si>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"Kobiety górą 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</si>
  <si>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20 kobiet: z grupy 50+ i długotrwale bezrobotnych matek samotnie wychowujących dzieci do lat 6</t>
  </si>
  <si>
    <t>b)</t>
  </si>
  <si>
    <t>programy, projekty lub zadania pozostałe (razem)</t>
  </si>
  <si>
    <r>
      <t xml:space="preserve">Zadanie pn. </t>
    </r>
    <r>
      <rPr>
        <b/>
        <i/>
        <sz val="13"/>
        <rFont val="Arial"/>
        <family val="2"/>
        <charset val="238"/>
      </rPr>
      <t>"Wypłata ekwiwalentów za zalesienie gruntów"</t>
    </r>
  </si>
  <si>
    <t>2011-2016</t>
  </si>
  <si>
    <t>020/02002</t>
  </si>
  <si>
    <t>Starostwo Powiatowe                                   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</si>
  <si>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1174 O i 1175 O Łukowice Brzeskie - Brzeg"</t>
    </r>
  </si>
  <si>
    <t>2010-2014</t>
  </si>
  <si>
    <t xml:space="preserve">Zarząd Dróg Powiatowych                    w Brzegu </t>
  </si>
  <si>
    <t>Poprawa bezpieczeństwa pieszych, ruchu drogowego i komfortu jazdy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</si>
  <si>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</si>
  <si>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1518 O Wójtowice - Jaszów"</t>
    </r>
  </si>
  <si>
    <t>Zarząd Dróg Powiatowych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</si>
  <si>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"Odbudowa mostu w ciągu drogi powiatowej nr 1507 O na rzece Nysa Kłodzka w miejscowości Głębocko"</t>
    </r>
  </si>
  <si>
    <t>2011-2015</t>
  </si>
  <si>
    <t xml:space="preserve">Zarząd Dróg Powiatowych                  w Brzegu </t>
  </si>
  <si>
    <t>Powstrzymywanie degradacji obiektu poprzez poprawę stanu technicznego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</si>
  <si>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"Budowa chodników na terenie Gminy Lubsza"                                                                  </t>
    </r>
  </si>
  <si>
    <t xml:space="preserve">Zarząd Dróg Powiatowych                       w Brzegu </t>
  </si>
  <si>
    <t>Poprawa bezpieczeństwa ruchu pieszych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</si>
  <si>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wraz z odwodnieniem przy drogach powiatowych na terenie miasta i gminy Grodków"</t>
    </r>
  </si>
  <si>
    <t xml:space="preserve">Zarząd Dróg Powiatowych                                  w Brzegu </t>
  </si>
  <si>
    <t>- wydatki majątkowe: "Przebudowa chodnika wraz z odwodnieniem w ciągu drogi powiatowej nr 1506 O w m. Tarnów Grodkowski"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</si>
  <si>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Grodków - obszar wiejski"</t>
    </r>
  </si>
  <si>
    <t>710/71013</t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</si>
  <si>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</si>
  <si>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</si>
  <si>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</si>
  <si>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3"/>
        <rFont val="Arial"/>
        <family val="2"/>
        <charset val="238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</si>
  <si>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</si>
  <si>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3"/>
        <rFont val="Arial"/>
        <family val="2"/>
        <charset val="238"/>
      </rPr>
      <t xml:space="preserve"> "Modernizacja geodezyjnej osnowy szczegółowej poziomej i wysokościowej"</t>
    </r>
  </si>
  <si>
    <t>2015-2016</t>
  </si>
  <si>
    <t>Starostwo Powiatowe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</si>
  <si>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Skarbimierz"</t>
    </r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</si>
  <si>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</si>
  <si>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801/80102</t>
  </si>
  <si>
    <t>Zespół Szkół Specjalnych                                          w Brzegu</t>
  </si>
  <si>
    <t>Zmniejszenie rocznego obliczeniowego zużycia energii do ogrzewania budynków</t>
  </si>
  <si>
    <r>
      <t xml:space="preserve">Zadanie pn. </t>
    </r>
    <r>
      <rPr>
        <b/>
        <i/>
        <sz val="13"/>
        <rFont val="Arial"/>
        <family val="2"/>
        <charset val="238"/>
      </rPr>
      <t>"Budowa sieci i przyłączy do ECO w ZSR CKP Grodków"</t>
    </r>
  </si>
  <si>
    <t>Zespól Szkól Rolniczych  CKP                             w  Grodkowie</t>
  </si>
  <si>
    <t>Likwidacja lokalnych kotłowni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</si>
  <si>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</si>
  <si>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t>2007-2013</t>
  </si>
  <si>
    <t>Starostwo Powiatowe                  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</si>
  <si>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budynku Zakładu Opieki Leczniczej w Brzegu ul. Mossora 1" </t>
    </r>
  </si>
  <si>
    <t>851/85111</t>
  </si>
  <si>
    <t>do uchwały nr XX/138/12</t>
  </si>
  <si>
    <t>z dnia 31 maja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</si>
</sst>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3"/>
      <name val="Arial"/>
      <family val="2"/>
      <charset val="238"/>
    </font>
    <font>
      <sz val="13"/>
      <color indexed="10"/>
      <name val="Arial"/>
      <family val="2"/>
      <charset val="238"/>
    </font>
    <font>
      <sz val="13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2" borderId="0" xfId="0" applyFont="1" applyFill="1"/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center" vertical="center"/>
    </xf>
    <xf numFmtId="3" fontId="5" fillId="5" borderId="43" xfId="0" applyNumberFormat="1" applyFont="1" applyFill="1" applyBorder="1" applyAlignment="1">
      <alignment horizontal="right" vertical="center"/>
    </xf>
    <xf numFmtId="3" fontId="5" fillId="5" borderId="44" xfId="0" applyNumberFormat="1" applyFont="1" applyFill="1" applyBorder="1" applyAlignment="1">
      <alignment horizontal="right" vertical="center"/>
    </xf>
    <xf numFmtId="3" fontId="5" fillId="5" borderId="16" xfId="0" applyNumberFormat="1" applyFont="1" applyFill="1" applyBorder="1" applyAlignment="1">
      <alignment horizontal="right" vertical="center"/>
    </xf>
    <xf numFmtId="3" fontId="5" fillId="5" borderId="21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3" fontId="5" fillId="4" borderId="36" xfId="0" applyNumberFormat="1" applyFont="1" applyFill="1" applyBorder="1" applyAlignment="1">
      <alignment horizontal="right" vertical="center"/>
    </xf>
    <xf numFmtId="3" fontId="1" fillId="0" borderId="47" xfId="0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49" fontId="1" fillId="0" borderId="48" xfId="0" applyNumberFormat="1" applyFont="1" applyFill="1" applyBorder="1" applyAlignment="1">
      <alignment vertical="center" wrapText="1"/>
    </xf>
    <xf numFmtId="3" fontId="5" fillId="4" borderId="39" xfId="0" applyNumberFormat="1" applyFont="1" applyFill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48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/>
    </xf>
    <xf numFmtId="49" fontId="1" fillId="0" borderId="63" xfId="0" applyNumberFormat="1" applyFont="1" applyFill="1" applyBorder="1" applyAlignment="1">
      <alignment vertical="center" wrapText="1"/>
    </xf>
    <xf numFmtId="3" fontId="1" fillId="0" borderId="64" xfId="0" applyNumberFormat="1" applyFont="1" applyFill="1" applyBorder="1" applyAlignment="1">
      <alignment horizontal="right" vertical="center"/>
    </xf>
    <xf numFmtId="0" fontId="1" fillId="0" borderId="65" xfId="0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horizontal="right" vertical="center"/>
    </xf>
    <xf numFmtId="3" fontId="5" fillId="0" borderId="67" xfId="0" applyNumberFormat="1" applyFont="1" applyFill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0" fontId="1" fillId="0" borderId="53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3" fontId="5" fillId="4" borderId="23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49" fontId="1" fillId="0" borderId="69" xfId="0" applyNumberFormat="1" applyFont="1" applyFill="1" applyBorder="1" applyAlignment="1">
      <alignment vertical="center" wrapText="1"/>
    </xf>
    <xf numFmtId="3" fontId="5" fillId="4" borderId="70" xfId="0" applyNumberFormat="1" applyFont="1" applyFill="1" applyBorder="1" applyAlignment="1">
      <alignment horizontal="right" vertical="center"/>
    </xf>
    <xf numFmtId="3" fontId="1" fillId="0" borderId="71" xfId="0" applyNumberFormat="1" applyFont="1" applyFill="1" applyBorder="1" applyAlignment="1">
      <alignment horizontal="right" vertical="center"/>
    </xf>
    <xf numFmtId="3" fontId="1" fillId="0" borderId="72" xfId="0" applyNumberFormat="1" applyFont="1" applyFill="1" applyBorder="1" applyAlignment="1">
      <alignment horizontal="right" vertical="center"/>
    </xf>
    <xf numFmtId="3" fontId="1" fillId="0" borderId="73" xfId="0" applyNumberFormat="1" applyFont="1" applyFill="1" applyBorder="1" applyAlignment="1">
      <alignment horizontal="right" vertical="center"/>
    </xf>
    <xf numFmtId="3" fontId="1" fillId="0" borderId="74" xfId="0" applyNumberFormat="1" applyFont="1" applyFill="1" applyBorder="1" applyAlignment="1">
      <alignment horizontal="right" vertical="center"/>
    </xf>
    <xf numFmtId="3" fontId="5" fillId="0" borderId="75" xfId="0" applyNumberFormat="1" applyFont="1" applyFill="1" applyBorder="1" applyAlignment="1">
      <alignment horizontal="right" vertical="center"/>
    </xf>
    <xf numFmtId="49" fontId="9" fillId="0" borderId="65" xfId="0" applyNumberFormat="1" applyFont="1" applyFill="1" applyBorder="1" applyAlignment="1">
      <alignment horizontal="left" vertical="center" wrapText="1"/>
    </xf>
    <xf numFmtId="3" fontId="1" fillId="0" borderId="66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55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49" fontId="9" fillId="0" borderId="45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3" fontId="1" fillId="0" borderId="31" xfId="0" applyNumberFormat="1" applyFont="1" applyFill="1" applyBorder="1" applyAlignment="1">
      <alignment horizontal="right" vertical="center"/>
    </xf>
    <xf numFmtId="3" fontId="5" fillId="4" borderId="79" xfId="0" applyNumberFormat="1" applyFont="1" applyFill="1" applyBorder="1" applyAlignment="1">
      <alignment horizontal="right" vertical="center"/>
    </xf>
    <xf numFmtId="3" fontId="1" fillId="0" borderId="80" xfId="0" applyNumberFormat="1" applyFont="1" applyFill="1" applyBorder="1" applyAlignment="1">
      <alignment horizontal="right" vertical="center"/>
    </xf>
    <xf numFmtId="3" fontId="1" fillId="0" borderId="79" xfId="0" applyNumberFormat="1" applyFont="1" applyFill="1" applyBorder="1" applyAlignment="1">
      <alignment horizontal="right" vertical="center"/>
    </xf>
    <xf numFmtId="3" fontId="1" fillId="0" borderId="81" xfId="0" applyNumberFormat="1" applyFont="1" applyFill="1" applyBorder="1" applyAlignment="1">
      <alignment horizontal="right" vertical="center"/>
    </xf>
    <xf numFmtId="3" fontId="1" fillId="0" borderId="82" xfId="0" applyNumberFormat="1" applyFont="1" applyFill="1" applyBorder="1" applyAlignment="1">
      <alignment horizontal="right" vertical="center"/>
    </xf>
    <xf numFmtId="49" fontId="1" fillId="0" borderId="86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3" fontId="5" fillId="0" borderId="87" xfId="0" applyNumberFormat="1" applyFont="1" applyFill="1" applyBorder="1" applyAlignment="1">
      <alignment horizontal="right" vertical="center"/>
    </xf>
    <xf numFmtId="0" fontId="1" fillId="0" borderId="53" xfId="0" applyNumberFormat="1" applyFont="1" applyFill="1" applyBorder="1" applyAlignment="1">
      <alignment vertical="center" wrapText="1"/>
    </xf>
    <xf numFmtId="3" fontId="1" fillId="0" borderId="90" xfId="0" applyNumberFormat="1" applyFont="1" applyFill="1" applyBorder="1" applyAlignment="1">
      <alignment horizontal="right" vertical="center"/>
    </xf>
    <xf numFmtId="3" fontId="1" fillId="0" borderId="91" xfId="0" applyNumberFormat="1" applyFont="1" applyFill="1" applyBorder="1" applyAlignment="1">
      <alignment horizontal="right" vertical="center"/>
    </xf>
    <xf numFmtId="3" fontId="5" fillId="0" borderId="92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93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 horizontal="right" vertical="center"/>
    </xf>
    <xf numFmtId="3" fontId="5" fillId="4" borderId="77" xfId="0" applyNumberFormat="1" applyFont="1" applyFill="1" applyBorder="1" applyAlignment="1">
      <alignment horizontal="right" vertical="center"/>
    </xf>
    <xf numFmtId="3" fontId="1" fillId="0" borderId="94" xfId="0" applyNumberFormat="1" applyFont="1" applyFill="1" applyBorder="1" applyAlignment="1">
      <alignment horizontal="right" vertical="center"/>
    </xf>
    <xf numFmtId="3" fontId="1" fillId="0" borderId="95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33" xfId="0" applyNumberFormat="1" applyFont="1" applyFill="1" applyBorder="1" applyAlignment="1">
      <alignment vertical="center" wrapText="1"/>
    </xf>
    <xf numFmtId="3" fontId="1" fillId="0" borderId="96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right" vertical="center" wrapText="1"/>
    </xf>
    <xf numFmtId="3" fontId="5" fillId="0" borderId="40" xfId="0" applyNumberFormat="1" applyFont="1" applyFill="1" applyBorder="1" applyAlignment="1">
      <alignment horizontal="right" vertical="center" wrapText="1"/>
    </xf>
    <xf numFmtId="3" fontId="5" fillId="4" borderId="45" xfId="0" applyNumberFormat="1" applyFont="1" applyFill="1" applyBorder="1" applyAlignment="1">
      <alignment horizontal="right" vertical="center"/>
    </xf>
    <xf numFmtId="3" fontId="5" fillId="4" borderId="48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3" fontId="5" fillId="4" borderId="101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3" fontId="5" fillId="5" borderId="101" xfId="0" applyNumberFormat="1" applyFont="1" applyFill="1" applyBorder="1" applyAlignment="1">
      <alignment horizontal="right" vertical="center"/>
    </xf>
    <xf numFmtId="3" fontId="5" fillId="0" borderId="90" xfId="0" applyNumberFormat="1" applyFont="1" applyFill="1" applyBorder="1" applyAlignment="1">
      <alignment horizontal="right" vertical="center"/>
    </xf>
    <xf numFmtId="3" fontId="5" fillId="0" borderId="91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49" fontId="1" fillId="0" borderId="65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right" vertical="center"/>
    </xf>
    <xf numFmtId="3" fontId="1" fillId="0" borderId="86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0" fontId="5" fillId="5" borderId="55" xfId="0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right" vertical="center"/>
    </xf>
    <xf numFmtId="3" fontId="5" fillId="5" borderId="99" xfId="0" applyNumberFormat="1" applyFont="1" applyFill="1" applyBorder="1" applyAlignment="1">
      <alignment horizontal="right" vertical="center"/>
    </xf>
    <xf numFmtId="3" fontId="5" fillId="5" borderId="66" xfId="0" applyNumberFormat="1" applyFont="1" applyFill="1" applyBorder="1" applyAlignment="1">
      <alignment horizontal="right" vertical="center"/>
    </xf>
    <xf numFmtId="3" fontId="5" fillId="5" borderId="30" xfId="0" applyNumberFormat="1" applyFont="1" applyFill="1" applyBorder="1" applyAlignment="1">
      <alignment horizontal="right" vertical="center"/>
    </xf>
    <xf numFmtId="0" fontId="1" fillId="0" borderId="65" xfId="0" applyNumberFormat="1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3" fontId="1" fillId="0" borderId="86" xfId="0" applyNumberFormat="1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right" vertical="center"/>
    </xf>
    <xf numFmtId="3" fontId="5" fillId="0" borderId="87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49" fontId="1" fillId="0" borderId="8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2" xfId="0" applyFont="1" applyBorder="1" applyAlignment="1"/>
    <xf numFmtId="3" fontId="5" fillId="4" borderId="3" xfId="0" applyNumberFormat="1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3" fontId="1" fillId="0" borderId="98" xfId="0" applyNumberFormat="1" applyFont="1" applyFill="1" applyBorder="1" applyAlignment="1">
      <alignment horizontal="right" vertical="center"/>
    </xf>
    <xf numFmtId="3" fontId="1" fillId="0" borderId="99" xfId="0" applyNumberFormat="1" applyFont="1" applyFill="1" applyBorder="1" applyAlignment="1">
      <alignment horizontal="right" vertical="center"/>
    </xf>
    <xf numFmtId="0" fontId="1" fillId="0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1" fillId="0" borderId="6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/>
    <xf numFmtId="3" fontId="1" fillId="0" borderId="100" xfId="0" applyNumberFormat="1" applyFont="1" applyFill="1" applyBorder="1" applyAlignment="1">
      <alignment horizontal="right" vertical="center"/>
    </xf>
    <xf numFmtId="3" fontId="1" fillId="0" borderId="9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right" vertical="center"/>
    </xf>
    <xf numFmtId="3" fontId="1" fillId="0" borderId="10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3" fontId="5" fillId="4" borderId="40" xfId="0" applyNumberFormat="1" applyFont="1" applyFill="1" applyBorder="1" applyAlignment="1">
      <alignment horizontal="right" vertical="center"/>
    </xf>
    <xf numFmtId="3" fontId="1" fillId="0" borderId="10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/>
    <xf numFmtId="3" fontId="1" fillId="0" borderId="56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/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3" fontId="5" fillId="0" borderId="106" xfId="0" applyNumberFormat="1" applyFont="1" applyFill="1" applyBorder="1" applyAlignment="1">
      <alignment horizontal="right" vertical="center"/>
    </xf>
    <xf numFmtId="0" fontId="5" fillId="0" borderId="104" xfId="0" applyFont="1" applyFill="1" applyBorder="1" applyAlignment="1">
      <alignment horizontal="right" vertical="center"/>
    </xf>
    <xf numFmtId="49" fontId="5" fillId="5" borderId="65" xfId="0" applyNumberFormat="1" applyFont="1" applyFill="1" applyBorder="1" applyAlignment="1">
      <alignment vertical="center" wrapText="1"/>
    </xf>
    <xf numFmtId="49" fontId="5" fillId="5" borderId="56" xfId="0" applyNumberFormat="1" applyFont="1" applyFill="1" applyBorder="1" applyAlignment="1">
      <alignment vertical="center" wrapText="1"/>
    </xf>
    <xf numFmtId="0" fontId="3" fillId="5" borderId="76" xfId="0" applyFont="1" applyFill="1" applyBorder="1"/>
    <xf numFmtId="49" fontId="5" fillId="0" borderId="62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7" xfId="0" applyFont="1" applyBorder="1"/>
    <xf numFmtId="49" fontId="5" fillId="0" borderId="63" xfId="0" applyNumberFormat="1" applyFont="1" applyFill="1" applyBorder="1" applyAlignment="1">
      <alignment vertical="center" wrapText="1"/>
    </xf>
    <xf numFmtId="49" fontId="5" fillId="0" borderId="60" xfId="0" applyNumberFormat="1" applyFont="1" applyFill="1" applyBorder="1" applyAlignment="1">
      <alignment vertical="center" wrapText="1"/>
    </xf>
    <xf numFmtId="0" fontId="3" fillId="0" borderId="50" xfId="0" applyFont="1" applyBorder="1"/>
    <xf numFmtId="0" fontId="3" fillId="0" borderId="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49" fontId="1" fillId="0" borderId="85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23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3" fontId="1" fillId="0" borderId="108" xfId="0" applyNumberFormat="1" applyFont="1" applyFill="1" applyBorder="1" applyAlignment="1">
      <alignment horizontal="right" vertical="center"/>
    </xf>
    <xf numFmtId="0" fontId="3" fillId="0" borderId="89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right" vertical="center"/>
    </xf>
    <xf numFmtId="3" fontId="1" fillId="0" borderId="85" xfId="0" applyNumberFormat="1" applyFont="1" applyFill="1" applyBorder="1" applyAlignment="1">
      <alignment horizontal="right" vertical="center"/>
    </xf>
    <xf numFmtId="3" fontId="1" fillId="0" borderId="88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/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" fillId="0" borderId="56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3" fillId="0" borderId="57" xfId="0" applyFont="1" applyBorder="1"/>
    <xf numFmtId="0" fontId="3" fillId="0" borderId="61" xfId="0" applyFont="1" applyBorder="1"/>
    <xf numFmtId="0" fontId="3" fillId="0" borderId="7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57" xfId="0" applyFont="1" applyFill="1" applyBorder="1" applyAlignment="1"/>
    <xf numFmtId="0" fontId="3" fillId="0" borderId="61" xfId="0" applyFont="1" applyFill="1" applyBorder="1" applyAlignment="1"/>
    <xf numFmtId="0" fontId="3" fillId="0" borderId="7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61" xfId="0" applyFont="1" applyBorder="1" applyAlignment="1"/>
    <xf numFmtId="0" fontId="1" fillId="0" borderId="6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3" fillId="0" borderId="5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49" fontId="5" fillId="5" borderId="17" xfId="0" applyNumberFormat="1" applyFont="1" applyFill="1" applyBorder="1" applyAlignment="1">
      <alignment horizontal="left" vertical="center" wrapText="1"/>
    </xf>
    <xf numFmtId="0" fontId="3" fillId="5" borderId="17" xfId="0" applyFont="1" applyFill="1" applyBorder="1"/>
    <xf numFmtId="49" fontId="5" fillId="0" borderId="24" xfId="0" applyNumberFormat="1" applyFont="1" applyFill="1" applyBorder="1" applyAlignment="1">
      <alignment vertical="center" wrapText="1"/>
    </xf>
    <xf numFmtId="0" fontId="3" fillId="0" borderId="24" xfId="0" applyFont="1" applyBorder="1"/>
    <xf numFmtId="49" fontId="5" fillId="0" borderId="33" xfId="0" applyNumberFormat="1" applyFont="1" applyFill="1" applyBorder="1" applyAlignment="1">
      <alignment vertical="center" wrapText="1"/>
    </xf>
    <xf numFmtId="0" fontId="3" fillId="0" borderId="33" xfId="0" applyFont="1" applyBorder="1"/>
    <xf numFmtId="0" fontId="1" fillId="0" borderId="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7" xfId="0" applyFont="1" applyBorder="1"/>
    <xf numFmtId="49" fontId="5" fillId="0" borderId="24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0" fontId="3" fillId="0" borderId="31" xfId="0" applyFont="1" applyBorder="1"/>
    <xf numFmtId="0" fontId="5" fillId="4" borderId="17" xfId="0" applyFont="1" applyFill="1" applyBorder="1" applyAlignment="1">
      <alignment vertical="center"/>
    </xf>
    <xf numFmtId="0" fontId="3" fillId="4" borderId="17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1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view="pageBreakPreview" zoomScale="80" zoomScaleNormal="100" zoomScaleSheetLayoutView="80" workbookViewId="0">
      <selection activeCell="K4" sqref="K4"/>
    </sheetView>
  </sheetViews>
  <sheetFormatPr defaultRowHeight="16.5" x14ac:dyDescent="0.25"/>
  <cols>
    <col min="1" max="1" width="5" style="127" customWidth="1"/>
    <col min="2" max="2" width="90.42578125" style="3" customWidth="1"/>
    <col min="3" max="3" width="14" style="3" customWidth="1"/>
    <col min="4" max="4" width="13.7109375" style="3" customWidth="1"/>
    <col min="5" max="5" width="20.42578125" style="3" customWidth="1"/>
    <col min="6" max="11" width="18.85546875" style="3" customWidth="1"/>
    <col min="12" max="12" width="18.85546875" style="11" customWidth="1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1"/>
      <c r="K1" s="1" t="s">
        <v>0</v>
      </c>
      <c r="L1" s="4"/>
    </row>
    <row r="2" spans="1:12" x14ac:dyDescent="0.25">
      <c r="A2" s="5"/>
      <c r="B2" s="128"/>
      <c r="C2" s="5"/>
      <c r="D2" s="5"/>
      <c r="E2" s="5"/>
      <c r="F2" s="5"/>
      <c r="G2" s="5"/>
      <c r="H2" s="5"/>
      <c r="I2" s="5"/>
      <c r="J2" s="6"/>
      <c r="K2" s="5" t="s">
        <v>124</v>
      </c>
      <c r="L2" s="7"/>
    </row>
    <row r="3" spans="1:12" x14ac:dyDescent="0.25">
      <c r="A3" s="8"/>
      <c r="B3" s="128"/>
      <c r="C3" s="8"/>
      <c r="D3" s="8"/>
      <c r="E3" s="8"/>
      <c r="F3" s="8"/>
      <c r="G3" s="8"/>
      <c r="H3" s="8"/>
      <c r="I3" s="8"/>
      <c r="J3" s="9"/>
      <c r="K3" s="5" t="s">
        <v>1</v>
      </c>
      <c r="L3" s="10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K4" s="1" t="s">
        <v>125</v>
      </c>
      <c r="L4" s="4"/>
    </row>
    <row r="5" spans="1:12" x14ac:dyDescent="0.25">
      <c r="A5" s="374" t="s">
        <v>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2" ht="17.25" thickBot="1" x14ac:dyDescent="0.3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12"/>
    </row>
    <row r="7" spans="1:12" ht="61.5" customHeight="1" thickBot="1" x14ac:dyDescent="0.3">
      <c r="A7" s="376" t="s">
        <v>3</v>
      </c>
      <c r="B7" s="376" t="s">
        <v>4</v>
      </c>
      <c r="C7" s="378" t="s">
        <v>5</v>
      </c>
      <c r="D7" s="378" t="s">
        <v>6</v>
      </c>
      <c r="E7" s="380" t="s">
        <v>7</v>
      </c>
      <c r="F7" s="382" t="s">
        <v>8</v>
      </c>
      <c r="G7" s="384" t="s">
        <v>9</v>
      </c>
      <c r="H7" s="385"/>
      <c r="I7" s="385"/>
      <c r="J7" s="385"/>
      <c r="K7" s="385"/>
      <c r="L7" s="372" t="s">
        <v>10</v>
      </c>
    </row>
    <row r="8" spans="1:12" ht="68.25" customHeight="1" thickBot="1" x14ac:dyDescent="0.3">
      <c r="A8" s="377"/>
      <c r="B8" s="377"/>
      <c r="C8" s="377"/>
      <c r="D8" s="379"/>
      <c r="E8" s="381"/>
      <c r="F8" s="383"/>
      <c r="G8" s="148">
        <v>2012</v>
      </c>
      <c r="H8" s="148">
        <v>2013</v>
      </c>
      <c r="I8" s="148">
        <v>2014</v>
      </c>
      <c r="J8" s="148">
        <v>2015</v>
      </c>
      <c r="K8" s="134">
        <v>2016</v>
      </c>
      <c r="L8" s="373"/>
    </row>
    <row r="9" spans="1:12" ht="17.25" thickBot="1" x14ac:dyDescent="0.3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6">
        <v>6</v>
      </c>
      <c r="G9" s="17">
        <v>7</v>
      </c>
      <c r="H9" s="14">
        <v>8</v>
      </c>
      <c r="I9" s="14">
        <v>9</v>
      </c>
      <c r="J9" s="14">
        <v>10</v>
      </c>
      <c r="K9" s="129">
        <v>11</v>
      </c>
      <c r="L9" s="18">
        <v>12</v>
      </c>
    </row>
    <row r="10" spans="1:12" ht="21.75" customHeight="1" x14ac:dyDescent="0.25">
      <c r="A10" s="19"/>
      <c r="B10" s="365" t="s">
        <v>11</v>
      </c>
      <c r="C10" s="365"/>
      <c r="D10" s="365"/>
      <c r="E10" s="366"/>
      <c r="F10" s="20">
        <f>F13</f>
        <v>55411081</v>
      </c>
      <c r="G10" s="21">
        <f>G11+G12</f>
        <v>8976560</v>
      </c>
      <c r="H10" s="23">
        <f t="shared" ref="H10:L12" si="0">H13</f>
        <v>10002887</v>
      </c>
      <c r="I10" s="24">
        <f t="shared" si="0"/>
        <v>22237919</v>
      </c>
      <c r="J10" s="23">
        <f t="shared" si="0"/>
        <v>2908900</v>
      </c>
      <c r="K10" s="22">
        <f t="shared" si="0"/>
        <v>923100</v>
      </c>
      <c r="L10" s="25">
        <f t="shared" si="0"/>
        <v>45227366</v>
      </c>
    </row>
    <row r="11" spans="1:12" ht="21.75" customHeight="1" x14ac:dyDescent="0.25">
      <c r="A11" s="26"/>
      <c r="B11" s="367" t="s">
        <v>12</v>
      </c>
      <c r="C11" s="367"/>
      <c r="D11" s="367"/>
      <c r="E11" s="360"/>
      <c r="F11" s="27">
        <f>F14</f>
        <v>11506921</v>
      </c>
      <c r="G11" s="28">
        <f>G14</f>
        <v>3205855</v>
      </c>
      <c r="H11" s="29">
        <f t="shared" si="0"/>
        <v>2683137</v>
      </c>
      <c r="I11" s="30">
        <f t="shared" si="0"/>
        <v>865710</v>
      </c>
      <c r="J11" s="29">
        <f t="shared" si="0"/>
        <v>908900</v>
      </c>
      <c r="K11" s="31">
        <f t="shared" si="0"/>
        <v>923100</v>
      </c>
      <c r="L11" s="32">
        <f t="shared" si="0"/>
        <v>8764702</v>
      </c>
    </row>
    <row r="12" spans="1:12" ht="21.75" customHeight="1" thickBot="1" x14ac:dyDescent="0.3">
      <c r="A12" s="153"/>
      <c r="B12" s="368" t="s">
        <v>13</v>
      </c>
      <c r="C12" s="368"/>
      <c r="D12" s="368"/>
      <c r="E12" s="369"/>
      <c r="F12" s="33">
        <f>F15</f>
        <v>43904160</v>
      </c>
      <c r="G12" s="34">
        <f>G15</f>
        <v>5770705</v>
      </c>
      <c r="H12" s="35">
        <f t="shared" si="0"/>
        <v>7319750</v>
      </c>
      <c r="I12" s="36">
        <f t="shared" si="0"/>
        <v>21372209</v>
      </c>
      <c r="J12" s="35">
        <f t="shared" si="0"/>
        <v>2000000</v>
      </c>
      <c r="K12" s="37">
        <f t="shared" si="0"/>
        <v>0</v>
      </c>
      <c r="L12" s="38">
        <f t="shared" si="0"/>
        <v>36462664</v>
      </c>
    </row>
    <row r="13" spans="1:12" ht="21.75" customHeight="1" x14ac:dyDescent="0.25">
      <c r="A13" s="39" t="s">
        <v>14</v>
      </c>
      <c r="B13" s="370" t="s">
        <v>15</v>
      </c>
      <c r="C13" s="370"/>
      <c r="D13" s="370"/>
      <c r="E13" s="371"/>
      <c r="F13" s="40">
        <f t="shared" ref="F13:L13" si="1">F16+F91</f>
        <v>55411081</v>
      </c>
      <c r="G13" s="41">
        <f t="shared" si="1"/>
        <v>8976560</v>
      </c>
      <c r="H13" s="20">
        <f t="shared" si="1"/>
        <v>10002887</v>
      </c>
      <c r="I13" s="20">
        <f t="shared" si="1"/>
        <v>22237919</v>
      </c>
      <c r="J13" s="20">
        <f t="shared" si="1"/>
        <v>2908900</v>
      </c>
      <c r="K13" s="135">
        <f t="shared" si="1"/>
        <v>923100</v>
      </c>
      <c r="L13" s="42">
        <f t="shared" si="1"/>
        <v>45227366</v>
      </c>
    </row>
    <row r="14" spans="1:12" ht="21.75" customHeight="1" x14ac:dyDescent="0.25">
      <c r="A14" s="43"/>
      <c r="B14" s="367" t="s">
        <v>12</v>
      </c>
      <c r="C14" s="367"/>
      <c r="D14" s="367"/>
      <c r="E14" s="360"/>
      <c r="F14" s="59">
        <f>F17+F92</f>
        <v>11506921</v>
      </c>
      <c r="G14" s="28">
        <f>G17+G92</f>
        <v>3205855</v>
      </c>
      <c r="H14" s="130">
        <f t="shared" ref="G14:K15" si="2">H17+H92</f>
        <v>2683137</v>
      </c>
      <c r="I14" s="130">
        <f t="shared" si="2"/>
        <v>865710</v>
      </c>
      <c r="J14" s="130">
        <f t="shared" si="2"/>
        <v>908900</v>
      </c>
      <c r="K14" s="136">
        <f t="shared" si="2"/>
        <v>923100</v>
      </c>
      <c r="L14" s="44">
        <f>L17+L92</f>
        <v>8764702</v>
      </c>
    </row>
    <row r="15" spans="1:12" ht="21.75" customHeight="1" thickBot="1" x14ac:dyDescent="0.3">
      <c r="A15" s="45"/>
      <c r="B15" s="368" t="s">
        <v>13</v>
      </c>
      <c r="C15" s="368"/>
      <c r="D15" s="368"/>
      <c r="E15" s="369"/>
      <c r="F15" s="154">
        <f>F18+F93</f>
        <v>43904160</v>
      </c>
      <c r="G15" s="34">
        <f t="shared" si="2"/>
        <v>5770705</v>
      </c>
      <c r="H15" s="131">
        <f t="shared" si="2"/>
        <v>7319750</v>
      </c>
      <c r="I15" s="131">
        <f t="shared" si="2"/>
        <v>21372209</v>
      </c>
      <c r="J15" s="131">
        <f t="shared" si="2"/>
        <v>2000000</v>
      </c>
      <c r="K15" s="137">
        <f t="shared" si="2"/>
        <v>0</v>
      </c>
      <c r="L15" s="46">
        <f>L18+L93</f>
        <v>36462664</v>
      </c>
    </row>
    <row r="16" spans="1:12" ht="38.25" customHeight="1" x14ac:dyDescent="0.25">
      <c r="A16" s="47" t="s">
        <v>16</v>
      </c>
      <c r="B16" s="357" t="s">
        <v>17</v>
      </c>
      <c r="C16" s="357"/>
      <c r="D16" s="357"/>
      <c r="E16" s="358"/>
      <c r="F16" s="48">
        <f t="shared" ref="F16:K16" si="3">F19+F23+F27+F31+F35+F43+F51+F59+F63+F67+F71+F75+F79+F83+F87</f>
        <v>10690838</v>
      </c>
      <c r="G16" s="49">
        <f t="shared" si="3"/>
        <v>4707251</v>
      </c>
      <c r="H16" s="50">
        <f t="shared" si="3"/>
        <v>1656437</v>
      </c>
      <c r="I16" s="50">
        <f t="shared" si="3"/>
        <v>154810</v>
      </c>
      <c r="J16" s="50">
        <f t="shared" si="3"/>
        <v>38000</v>
      </c>
      <c r="K16" s="138">
        <f t="shared" si="3"/>
        <v>0</v>
      </c>
      <c r="L16" s="51">
        <f>L19+L23+L27+L31+L35+L43+L51+L59+L63+L67+L71+L75+L79+L83+L87</f>
        <v>6556498</v>
      </c>
    </row>
    <row r="17" spans="1:12" ht="21.75" customHeight="1" x14ac:dyDescent="0.25">
      <c r="A17" s="43"/>
      <c r="B17" s="359" t="s">
        <v>18</v>
      </c>
      <c r="C17" s="359"/>
      <c r="D17" s="359"/>
      <c r="E17" s="360"/>
      <c r="F17" s="132">
        <f t="shared" ref="F17:L18" si="4">F21+F25+F29+F33+F37+F45+F53+F61+F65+F69+F73+F77+F81+F85+F89</f>
        <v>6848757</v>
      </c>
      <c r="G17" s="52">
        <f t="shared" si="4"/>
        <v>2563891</v>
      </c>
      <c r="H17" s="112">
        <f t="shared" si="4"/>
        <v>1656437</v>
      </c>
      <c r="I17" s="112">
        <f t="shared" si="4"/>
        <v>154810</v>
      </c>
      <c r="J17" s="112">
        <f t="shared" si="4"/>
        <v>38000</v>
      </c>
      <c r="K17" s="139">
        <f t="shared" si="4"/>
        <v>0</v>
      </c>
      <c r="L17" s="53">
        <f t="shared" si="4"/>
        <v>4413138</v>
      </c>
    </row>
    <row r="18" spans="1:12" ht="21.75" customHeight="1" thickBot="1" x14ac:dyDescent="0.3">
      <c r="A18" s="45"/>
      <c r="B18" s="361" t="s">
        <v>19</v>
      </c>
      <c r="C18" s="361"/>
      <c r="D18" s="361"/>
      <c r="E18" s="362"/>
      <c r="F18" s="133">
        <f t="shared" si="4"/>
        <v>3842081</v>
      </c>
      <c r="G18" s="54">
        <f t="shared" si="4"/>
        <v>2143360</v>
      </c>
      <c r="H18" s="114">
        <f t="shared" si="4"/>
        <v>0</v>
      </c>
      <c r="I18" s="114">
        <f t="shared" si="4"/>
        <v>0</v>
      </c>
      <c r="J18" s="114">
        <f t="shared" si="4"/>
        <v>0</v>
      </c>
      <c r="K18" s="140">
        <f t="shared" si="4"/>
        <v>0</v>
      </c>
      <c r="L18" s="55">
        <f t="shared" si="4"/>
        <v>2143360</v>
      </c>
    </row>
    <row r="19" spans="1:12" ht="72.75" customHeight="1" x14ac:dyDescent="0.25">
      <c r="A19" s="225">
        <v>1</v>
      </c>
      <c r="B19" s="56" t="s">
        <v>20</v>
      </c>
      <c r="C19" s="183" t="s">
        <v>21</v>
      </c>
      <c r="D19" s="187" t="s">
        <v>22</v>
      </c>
      <c r="E19" s="301" t="s">
        <v>23</v>
      </c>
      <c r="F19" s="195">
        <f>2669998</f>
        <v>2669998</v>
      </c>
      <c r="G19" s="205">
        <f>1634065</f>
        <v>1634065</v>
      </c>
      <c r="H19" s="169"/>
      <c r="I19" s="169"/>
      <c r="J19" s="169"/>
      <c r="K19" s="304"/>
      <c r="L19" s="173">
        <f>G19+H19+I19+J19+K19</f>
        <v>1634065</v>
      </c>
    </row>
    <row r="20" spans="1:12" ht="33" x14ac:dyDescent="0.25">
      <c r="A20" s="207"/>
      <c r="B20" s="57" t="s">
        <v>24</v>
      </c>
      <c r="C20" s="184"/>
      <c r="D20" s="188"/>
      <c r="E20" s="203"/>
      <c r="F20" s="170"/>
      <c r="G20" s="206"/>
      <c r="H20" s="170"/>
      <c r="I20" s="170"/>
      <c r="J20" s="170"/>
      <c r="K20" s="172"/>
      <c r="L20" s="174"/>
    </row>
    <row r="21" spans="1:12" ht="18.75" customHeight="1" x14ac:dyDescent="0.25">
      <c r="A21" s="363"/>
      <c r="B21" s="58" t="s">
        <v>12</v>
      </c>
      <c r="C21" s="309"/>
      <c r="D21" s="249"/>
      <c r="E21" s="204"/>
      <c r="F21" s="59"/>
      <c r="G21" s="60"/>
      <c r="H21" s="61"/>
      <c r="I21" s="61"/>
      <c r="J21" s="61"/>
      <c r="K21" s="62"/>
      <c r="L21" s="63">
        <f>G21+H21+I21+J21+K21</f>
        <v>0</v>
      </c>
    </row>
    <row r="22" spans="1:12" ht="18.75" customHeight="1" thickBot="1" x14ac:dyDescent="0.3">
      <c r="A22" s="364"/>
      <c r="B22" s="64" t="s">
        <v>13</v>
      </c>
      <c r="C22" s="310"/>
      <c r="D22" s="269"/>
      <c r="E22" s="322"/>
      <c r="F22" s="65">
        <f>2669998</f>
        <v>2669998</v>
      </c>
      <c r="G22" s="66">
        <f>1634065</f>
        <v>1634065</v>
      </c>
      <c r="H22" s="67"/>
      <c r="I22" s="67"/>
      <c r="J22" s="67"/>
      <c r="K22" s="68"/>
      <c r="L22" s="63">
        <f>G22+H22+I22+J22+K22</f>
        <v>1634065</v>
      </c>
    </row>
    <row r="23" spans="1:12" ht="59.25" customHeight="1" x14ac:dyDescent="0.25">
      <c r="A23" s="225">
        <v>2</v>
      </c>
      <c r="B23" s="69" t="s">
        <v>25</v>
      </c>
      <c r="C23" s="307" t="s">
        <v>26</v>
      </c>
      <c r="D23" s="268" t="s">
        <v>27</v>
      </c>
      <c r="E23" s="301" t="s">
        <v>28</v>
      </c>
      <c r="F23" s="195">
        <f>474521</f>
        <v>474521</v>
      </c>
      <c r="G23" s="205">
        <v>69000</v>
      </c>
      <c r="H23" s="169">
        <v>71000</v>
      </c>
      <c r="I23" s="169">
        <v>73000</v>
      </c>
      <c r="J23" s="169">
        <v>38000</v>
      </c>
      <c r="K23" s="171"/>
      <c r="L23" s="173">
        <f>G23+H23+I23+J23+K23</f>
        <v>251000</v>
      </c>
    </row>
    <row r="24" spans="1:12" ht="41.25" customHeight="1" x14ac:dyDescent="0.25">
      <c r="A24" s="207"/>
      <c r="B24" s="70" t="s">
        <v>29</v>
      </c>
      <c r="C24" s="308"/>
      <c r="D24" s="311"/>
      <c r="E24" s="203"/>
      <c r="F24" s="170"/>
      <c r="G24" s="206"/>
      <c r="H24" s="170"/>
      <c r="I24" s="170"/>
      <c r="J24" s="170"/>
      <c r="K24" s="172"/>
      <c r="L24" s="174"/>
    </row>
    <row r="25" spans="1:12" ht="18.75" customHeight="1" x14ac:dyDescent="0.25">
      <c r="A25" s="349"/>
      <c r="B25" s="71" t="s">
        <v>12</v>
      </c>
      <c r="C25" s="351"/>
      <c r="D25" s="353"/>
      <c r="E25" s="347"/>
      <c r="F25" s="59">
        <f>416775</f>
        <v>416775</v>
      </c>
      <c r="G25" s="72">
        <v>69000</v>
      </c>
      <c r="H25" s="61">
        <v>71000</v>
      </c>
      <c r="I25" s="61">
        <v>73000</v>
      </c>
      <c r="J25" s="61">
        <v>38000</v>
      </c>
      <c r="K25" s="62"/>
      <c r="L25" s="63">
        <f>G25+H25+I25+J25+K25</f>
        <v>251000</v>
      </c>
    </row>
    <row r="26" spans="1:12" ht="18.75" customHeight="1" thickBot="1" x14ac:dyDescent="0.3">
      <c r="A26" s="350"/>
      <c r="B26" s="73" t="s">
        <v>13</v>
      </c>
      <c r="C26" s="352"/>
      <c r="D26" s="354"/>
      <c r="E26" s="348"/>
      <c r="F26" s="65">
        <f>57746</f>
        <v>57746</v>
      </c>
      <c r="G26" s="74"/>
      <c r="H26" s="67"/>
      <c r="I26" s="67"/>
      <c r="J26" s="67"/>
      <c r="K26" s="68"/>
      <c r="L26" s="63">
        <f>G26+H26+I26+J26+K26</f>
        <v>0</v>
      </c>
    </row>
    <row r="27" spans="1:12" ht="59.25" customHeight="1" x14ac:dyDescent="0.25">
      <c r="A27" s="225">
        <v>3</v>
      </c>
      <c r="B27" s="56" t="s">
        <v>30</v>
      </c>
      <c r="C27" s="307" t="s">
        <v>31</v>
      </c>
      <c r="D27" s="268" t="s">
        <v>32</v>
      </c>
      <c r="E27" s="312" t="s">
        <v>33</v>
      </c>
      <c r="F27" s="195">
        <f>942374</f>
        <v>942374</v>
      </c>
      <c r="G27" s="197">
        <f>620104</f>
        <v>620104</v>
      </c>
      <c r="H27" s="169"/>
      <c r="I27" s="169"/>
      <c r="J27" s="169"/>
      <c r="K27" s="171"/>
      <c r="L27" s="173">
        <f>G27+H27+I27+J27+K27</f>
        <v>620104</v>
      </c>
    </row>
    <row r="28" spans="1:12" ht="37.5" customHeight="1" x14ac:dyDescent="0.25">
      <c r="A28" s="207"/>
      <c r="B28" s="75" t="s">
        <v>34</v>
      </c>
      <c r="C28" s="308"/>
      <c r="D28" s="311"/>
      <c r="E28" s="313"/>
      <c r="F28" s="170"/>
      <c r="G28" s="198"/>
      <c r="H28" s="170"/>
      <c r="I28" s="170"/>
      <c r="J28" s="170"/>
      <c r="K28" s="172"/>
      <c r="L28" s="174"/>
    </row>
    <row r="29" spans="1:12" ht="18.75" customHeight="1" x14ac:dyDescent="0.25">
      <c r="A29" s="349"/>
      <c r="B29" s="71" t="s">
        <v>12</v>
      </c>
      <c r="C29" s="309"/>
      <c r="D29" s="249"/>
      <c r="E29" s="355"/>
      <c r="F29" s="59">
        <f>139037</f>
        <v>139037</v>
      </c>
      <c r="G29" s="76">
        <f>110809</f>
        <v>110809</v>
      </c>
      <c r="H29" s="61"/>
      <c r="I29" s="61"/>
      <c r="J29" s="61"/>
      <c r="K29" s="62"/>
      <c r="L29" s="63">
        <f>G29+H29+I29+J29+K29</f>
        <v>110809</v>
      </c>
    </row>
    <row r="30" spans="1:12" ht="18.75" customHeight="1" thickBot="1" x14ac:dyDescent="0.3">
      <c r="A30" s="350"/>
      <c r="B30" s="73" t="s">
        <v>13</v>
      </c>
      <c r="C30" s="310"/>
      <c r="D30" s="269"/>
      <c r="E30" s="356"/>
      <c r="F30" s="65">
        <f>803337</f>
        <v>803337</v>
      </c>
      <c r="G30" s="74">
        <f>509295</f>
        <v>509295</v>
      </c>
      <c r="H30" s="67"/>
      <c r="I30" s="67"/>
      <c r="J30" s="67"/>
      <c r="K30" s="68"/>
      <c r="L30" s="77">
        <f>G30+H30+I30+J30+K30</f>
        <v>509295</v>
      </c>
    </row>
    <row r="31" spans="1:12" ht="74.25" customHeight="1" x14ac:dyDescent="0.25">
      <c r="A31" s="225">
        <v>4</v>
      </c>
      <c r="B31" s="56" t="s">
        <v>35</v>
      </c>
      <c r="C31" s="307" t="s">
        <v>21</v>
      </c>
      <c r="D31" s="268" t="s">
        <v>36</v>
      </c>
      <c r="E31" s="312" t="s">
        <v>33</v>
      </c>
      <c r="F31" s="195">
        <f>48750</f>
        <v>48750</v>
      </c>
      <c r="G31" s="197">
        <v>12554</v>
      </c>
      <c r="H31" s="169"/>
      <c r="I31" s="169"/>
      <c r="J31" s="169"/>
      <c r="K31" s="171"/>
      <c r="L31" s="173">
        <f>G31+H31+I31+J31+K31</f>
        <v>12554</v>
      </c>
    </row>
    <row r="32" spans="1:12" ht="60.75" customHeight="1" x14ac:dyDescent="0.25">
      <c r="A32" s="207"/>
      <c r="B32" s="75" t="s">
        <v>37</v>
      </c>
      <c r="C32" s="308"/>
      <c r="D32" s="311"/>
      <c r="E32" s="313"/>
      <c r="F32" s="170"/>
      <c r="G32" s="198"/>
      <c r="H32" s="170"/>
      <c r="I32" s="170"/>
      <c r="J32" s="170"/>
      <c r="K32" s="172"/>
      <c r="L32" s="174"/>
    </row>
    <row r="33" spans="1:12" ht="18.75" customHeight="1" x14ac:dyDescent="0.25">
      <c r="A33" s="349"/>
      <c r="B33" s="71" t="s">
        <v>12</v>
      </c>
      <c r="C33" s="351"/>
      <c r="D33" s="353"/>
      <c r="E33" s="347"/>
      <c r="F33" s="59">
        <f>48750</f>
        <v>48750</v>
      </c>
      <c r="G33" s="76">
        <v>12554</v>
      </c>
      <c r="H33" s="61"/>
      <c r="I33" s="61"/>
      <c r="J33" s="61"/>
      <c r="K33" s="62"/>
      <c r="L33" s="63">
        <f>G33+H33+I33+J33+K33</f>
        <v>12554</v>
      </c>
    </row>
    <row r="34" spans="1:12" ht="18.75" customHeight="1" thickBot="1" x14ac:dyDescent="0.3">
      <c r="A34" s="350"/>
      <c r="B34" s="73" t="s">
        <v>13</v>
      </c>
      <c r="C34" s="352"/>
      <c r="D34" s="354"/>
      <c r="E34" s="348"/>
      <c r="F34" s="65"/>
      <c r="G34" s="78"/>
      <c r="H34" s="67"/>
      <c r="I34" s="67"/>
      <c r="J34" s="67"/>
      <c r="K34" s="68"/>
      <c r="L34" s="77">
        <f>G34+H34+I34+J34+K34</f>
        <v>0</v>
      </c>
    </row>
    <row r="35" spans="1:12" ht="53.25" customHeight="1" x14ac:dyDescent="0.25">
      <c r="A35" s="180">
        <v>5</v>
      </c>
      <c r="B35" s="79" t="s">
        <v>38</v>
      </c>
      <c r="C35" s="343" t="s">
        <v>39</v>
      </c>
      <c r="D35" s="346"/>
      <c r="E35" s="312" t="s">
        <v>40</v>
      </c>
      <c r="F35" s="195">
        <f>F37+F38</f>
        <v>302000</v>
      </c>
      <c r="G35" s="197">
        <f>G37+G38</f>
        <v>44393</v>
      </c>
      <c r="H35" s="169"/>
      <c r="I35" s="169"/>
      <c r="J35" s="169"/>
      <c r="K35" s="171"/>
      <c r="L35" s="173">
        <f>G35+H35+I35+J35+K35</f>
        <v>44393</v>
      </c>
    </row>
    <row r="36" spans="1:12" ht="33" x14ac:dyDescent="0.25">
      <c r="A36" s="181"/>
      <c r="B36" s="80" t="s">
        <v>41</v>
      </c>
      <c r="C36" s="326"/>
      <c r="D36" s="328"/>
      <c r="E36" s="313"/>
      <c r="F36" s="170"/>
      <c r="G36" s="198"/>
      <c r="H36" s="170"/>
      <c r="I36" s="170"/>
      <c r="J36" s="170"/>
      <c r="K36" s="172"/>
      <c r="L36" s="174"/>
    </row>
    <row r="37" spans="1:12" ht="18.75" customHeight="1" x14ac:dyDescent="0.25">
      <c r="A37" s="181"/>
      <c r="B37" s="71" t="s">
        <v>42</v>
      </c>
      <c r="C37" s="326"/>
      <c r="D37" s="328"/>
      <c r="E37" s="313"/>
      <c r="F37" s="81">
        <f>F39+F41</f>
        <v>302000</v>
      </c>
      <c r="G37" s="76">
        <f>G39+G41</f>
        <v>44393</v>
      </c>
      <c r="H37" s="61"/>
      <c r="I37" s="61"/>
      <c r="J37" s="82"/>
      <c r="K37" s="62"/>
      <c r="L37" s="63">
        <f t="shared" ref="L37:L43" si="5">G37+H37+I37+J37+K37</f>
        <v>44393</v>
      </c>
    </row>
    <row r="38" spans="1:12" ht="18.75" customHeight="1" x14ac:dyDescent="0.25">
      <c r="A38" s="181"/>
      <c r="B38" s="83" t="s">
        <v>43</v>
      </c>
      <c r="C38" s="326"/>
      <c r="D38" s="311"/>
      <c r="E38" s="313"/>
      <c r="F38" s="84"/>
      <c r="G38" s="85"/>
      <c r="H38" s="86"/>
      <c r="I38" s="86"/>
      <c r="J38" s="87"/>
      <c r="K38" s="88"/>
      <c r="L38" s="89">
        <f t="shared" si="5"/>
        <v>0</v>
      </c>
    </row>
    <row r="39" spans="1:12" ht="18.75" customHeight="1" x14ac:dyDescent="0.25">
      <c r="A39" s="181"/>
      <c r="B39" s="90" t="s">
        <v>12</v>
      </c>
      <c r="C39" s="326"/>
      <c r="D39" s="240" t="s">
        <v>36</v>
      </c>
      <c r="E39" s="313"/>
      <c r="F39" s="81">
        <v>6600</v>
      </c>
      <c r="G39" s="91">
        <v>3000</v>
      </c>
      <c r="H39" s="92"/>
      <c r="I39" s="92"/>
      <c r="J39" s="93"/>
      <c r="K39" s="94"/>
      <c r="L39" s="95">
        <f t="shared" si="5"/>
        <v>3000</v>
      </c>
    </row>
    <row r="40" spans="1:12" ht="18.75" customHeight="1" x14ac:dyDescent="0.25">
      <c r="A40" s="181"/>
      <c r="B40" s="96" t="s">
        <v>13</v>
      </c>
      <c r="C40" s="326"/>
      <c r="D40" s="240"/>
      <c r="E40" s="313"/>
      <c r="F40" s="81"/>
      <c r="G40" s="76"/>
      <c r="H40" s="61"/>
      <c r="I40" s="61"/>
      <c r="J40" s="82"/>
      <c r="K40" s="62"/>
      <c r="L40" s="63">
        <f t="shared" si="5"/>
        <v>0</v>
      </c>
    </row>
    <row r="41" spans="1:12" ht="18.75" customHeight="1" x14ac:dyDescent="0.25">
      <c r="A41" s="341"/>
      <c r="B41" s="96" t="s">
        <v>12</v>
      </c>
      <c r="C41" s="344"/>
      <c r="D41" s="240" t="s">
        <v>44</v>
      </c>
      <c r="E41" s="347"/>
      <c r="F41" s="59">
        <v>295400</v>
      </c>
      <c r="G41" s="72">
        <v>41393</v>
      </c>
      <c r="H41" s="61"/>
      <c r="I41" s="61"/>
      <c r="J41" s="82"/>
      <c r="K41" s="62"/>
      <c r="L41" s="63">
        <f t="shared" si="5"/>
        <v>41393</v>
      </c>
    </row>
    <row r="42" spans="1:12" ht="18.75" customHeight="1" thickBot="1" x14ac:dyDescent="0.3">
      <c r="A42" s="342"/>
      <c r="B42" s="97" t="s">
        <v>13</v>
      </c>
      <c r="C42" s="345"/>
      <c r="D42" s="241"/>
      <c r="E42" s="348"/>
      <c r="F42" s="65"/>
      <c r="G42" s="74"/>
      <c r="H42" s="67"/>
      <c r="I42" s="67"/>
      <c r="J42" s="98"/>
      <c r="K42" s="68"/>
      <c r="L42" s="77">
        <f t="shared" si="5"/>
        <v>0</v>
      </c>
    </row>
    <row r="43" spans="1:12" ht="40.5" customHeight="1" x14ac:dyDescent="0.25">
      <c r="A43" s="335">
        <v>6</v>
      </c>
      <c r="B43" s="79" t="s">
        <v>45</v>
      </c>
      <c r="C43" s="307" t="s">
        <v>46</v>
      </c>
      <c r="D43" s="268"/>
      <c r="E43" s="336" t="s">
        <v>40</v>
      </c>
      <c r="F43" s="195">
        <f>182388</f>
        <v>182388</v>
      </c>
      <c r="G43" s="197">
        <f>G45+G46</f>
        <v>99580</v>
      </c>
      <c r="H43" s="169"/>
      <c r="I43" s="169"/>
      <c r="J43" s="169"/>
      <c r="K43" s="171"/>
      <c r="L43" s="173">
        <f t="shared" si="5"/>
        <v>99580</v>
      </c>
    </row>
    <row r="44" spans="1:12" ht="40.5" customHeight="1" x14ac:dyDescent="0.25">
      <c r="A44" s="324"/>
      <c r="B44" s="80" t="s">
        <v>47</v>
      </c>
      <c r="C44" s="308"/>
      <c r="D44" s="311"/>
      <c r="E44" s="337"/>
      <c r="F44" s="170"/>
      <c r="G44" s="198"/>
      <c r="H44" s="170"/>
      <c r="I44" s="170"/>
      <c r="J44" s="170"/>
      <c r="K44" s="172"/>
      <c r="L44" s="174"/>
    </row>
    <row r="45" spans="1:12" ht="18.75" customHeight="1" x14ac:dyDescent="0.25">
      <c r="A45" s="324"/>
      <c r="B45" s="71" t="s">
        <v>42</v>
      </c>
      <c r="C45" s="238"/>
      <c r="D45" s="236"/>
      <c r="E45" s="338"/>
      <c r="F45" s="59">
        <f>182388</f>
        <v>182388</v>
      </c>
      <c r="G45" s="76">
        <f>G47+G49</f>
        <v>99580</v>
      </c>
      <c r="H45" s="61"/>
      <c r="I45" s="61"/>
      <c r="J45" s="82"/>
      <c r="K45" s="62"/>
      <c r="L45" s="63">
        <f t="shared" ref="L45:L51" si="6">G45+H45+I45+J45+K45</f>
        <v>99580</v>
      </c>
    </row>
    <row r="46" spans="1:12" ht="18.75" customHeight="1" x14ac:dyDescent="0.25">
      <c r="A46" s="324"/>
      <c r="B46" s="83" t="s">
        <v>43</v>
      </c>
      <c r="C46" s="238"/>
      <c r="D46" s="236"/>
      <c r="E46" s="338"/>
      <c r="F46" s="99"/>
      <c r="G46" s="100"/>
      <c r="H46" s="101"/>
      <c r="I46" s="101"/>
      <c r="J46" s="102"/>
      <c r="K46" s="103"/>
      <c r="L46" s="89">
        <f t="shared" si="6"/>
        <v>0</v>
      </c>
    </row>
    <row r="47" spans="1:12" ht="18.75" customHeight="1" x14ac:dyDescent="0.25">
      <c r="A47" s="324"/>
      <c r="B47" s="90" t="s">
        <v>12</v>
      </c>
      <c r="C47" s="238"/>
      <c r="D47" s="240" t="s">
        <v>48</v>
      </c>
      <c r="E47" s="338"/>
      <c r="F47" s="81">
        <f>24889</f>
        <v>24889</v>
      </c>
      <c r="G47" s="91">
        <f>5740</f>
        <v>5740</v>
      </c>
      <c r="H47" s="92"/>
      <c r="I47" s="92"/>
      <c r="J47" s="93"/>
      <c r="K47" s="94"/>
      <c r="L47" s="95">
        <f t="shared" si="6"/>
        <v>5740</v>
      </c>
    </row>
    <row r="48" spans="1:12" ht="18.75" customHeight="1" x14ac:dyDescent="0.25">
      <c r="A48" s="324"/>
      <c r="B48" s="96" t="s">
        <v>13</v>
      </c>
      <c r="C48" s="238"/>
      <c r="D48" s="236"/>
      <c r="E48" s="338"/>
      <c r="F48" s="59"/>
      <c r="G48" s="76"/>
      <c r="H48" s="61"/>
      <c r="I48" s="61"/>
      <c r="J48" s="82"/>
      <c r="K48" s="62"/>
      <c r="L48" s="63">
        <f t="shared" si="6"/>
        <v>0</v>
      </c>
    </row>
    <row r="49" spans="1:12" ht="18.75" customHeight="1" x14ac:dyDescent="0.25">
      <c r="A49" s="324"/>
      <c r="B49" s="96" t="s">
        <v>12</v>
      </c>
      <c r="C49" s="309"/>
      <c r="D49" s="240" t="s">
        <v>49</v>
      </c>
      <c r="E49" s="339"/>
      <c r="F49" s="59">
        <f>157499</f>
        <v>157499</v>
      </c>
      <c r="G49" s="76">
        <f>93840</f>
        <v>93840</v>
      </c>
      <c r="H49" s="61"/>
      <c r="I49" s="61"/>
      <c r="J49" s="82"/>
      <c r="K49" s="62"/>
      <c r="L49" s="63">
        <f t="shared" si="6"/>
        <v>93840</v>
      </c>
    </row>
    <row r="50" spans="1:12" ht="18.75" customHeight="1" thickBot="1" x14ac:dyDescent="0.3">
      <c r="A50" s="325"/>
      <c r="B50" s="97" t="s">
        <v>13</v>
      </c>
      <c r="C50" s="310"/>
      <c r="D50" s="241"/>
      <c r="E50" s="340"/>
      <c r="F50" s="65"/>
      <c r="G50" s="74"/>
      <c r="H50" s="67"/>
      <c r="I50" s="67"/>
      <c r="J50" s="98"/>
      <c r="K50" s="68"/>
      <c r="L50" s="77">
        <f t="shared" si="6"/>
        <v>0</v>
      </c>
    </row>
    <row r="51" spans="1:12" ht="39.75" customHeight="1" x14ac:dyDescent="0.25">
      <c r="A51" s="180">
        <v>7</v>
      </c>
      <c r="B51" s="79" t="s">
        <v>50</v>
      </c>
      <c r="C51" s="183" t="s">
        <v>39</v>
      </c>
      <c r="D51" s="187"/>
      <c r="E51" s="332" t="s">
        <v>51</v>
      </c>
      <c r="F51" s="195">
        <f>325224</f>
        <v>325224</v>
      </c>
      <c r="G51" s="197">
        <f>5224</f>
        <v>5224</v>
      </c>
      <c r="H51" s="169"/>
      <c r="I51" s="169"/>
      <c r="J51" s="169"/>
      <c r="K51" s="171"/>
      <c r="L51" s="173">
        <f t="shared" si="6"/>
        <v>5224</v>
      </c>
    </row>
    <row r="52" spans="1:12" ht="19.5" customHeight="1" x14ac:dyDescent="0.25">
      <c r="A52" s="181"/>
      <c r="B52" s="80" t="s">
        <v>52</v>
      </c>
      <c r="C52" s="184"/>
      <c r="D52" s="188"/>
      <c r="E52" s="284"/>
      <c r="F52" s="196"/>
      <c r="G52" s="198"/>
      <c r="H52" s="164"/>
      <c r="I52" s="164"/>
      <c r="J52" s="164"/>
      <c r="K52" s="166"/>
      <c r="L52" s="168"/>
    </row>
    <row r="53" spans="1:12" ht="18.75" customHeight="1" x14ac:dyDescent="0.25">
      <c r="A53" s="181"/>
      <c r="B53" s="71" t="s">
        <v>42</v>
      </c>
      <c r="C53" s="208"/>
      <c r="D53" s="230"/>
      <c r="E53" s="284"/>
      <c r="F53" s="59">
        <f>25224</f>
        <v>25224</v>
      </c>
      <c r="G53" s="76">
        <f>5224</f>
        <v>5224</v>
      </c>
      <c r="H53" s="61"/>
      <c r="I53" s="61"/>
      <c r="J53" s="82"/>
      <c r="K53" s="62"/>
      <c r="L53" s="63">
        <f t="shared" ref="L53:L59" si="7">G53+H53+I53+J53+K53</f>
        <v>5224</v>
      </c>
    </row>
    <row r="54" spans="1:12" ht="18.75" customHeight="1" x14ac:dyDescent="0.25">
      <c r="A54" s="181"/>
      <c r="B54" s="83" t="s">
        <v>43</v>
      </c>
      <c r="C54" s="208"/>
      <c r="D54" s="230"/>
      <c r="E54" s="284"/>
      <c r="F54" s="99">
        <f>300000</f>
        <v>300000</v>
      </c>
      <c r="G54" s="100"/>
      <c r="H54" s="101"/>
      <c r="I54" s="101"/>
      <c r="J54" s="102"/>
      <c r="K54" s="103"/>
      <c r="L54" s="89">
        <f t="shared" si="7"/>
        <v>0</v>
      </c>
    </row>
    <row r="55" spans="1:12" ht="18.75" customHeight="1" x14ac:dyDescent="0.25">
      <c r="A55" s="181"/>
      <c r="B55" s="90" t="s">
        <v>12</v>
      </c>
      <c r="C55" s="208"/>
      <c r="D55" s="219" t="s">
        <v>49</v>
      </c>
      <c r="E55" s="333"/>
      <c r="F55" s="81">
        <f>12612</f>
        <v>12612</v>
      </c>
      <c r="G55" s="91">
        <f>2612</f>
        <v>2612</v>
      </c>
      <c r="H55" s="92"/>
      <c r="I55" s="92"/>
      <c r="J55" s="93"/>
      <c r="K55" s="94"/>
      <c r="L55" s="95">
        <f t="shared" si="7"/>
        <v>2612</v>
      </c>
    </row>
    <row r="56" spans="1:12" ht="18.75" customHeight="1" x14ac:dyDescent="0.25">
      <c r="A56" s="181"/>
      <c r="B56" s="96" t="s">
        <v>13</v>
      </c>
      <c r="C56" s="208"/>
      <c r="D56" s="230"/>
      <c r="E56" s="333"/>
      <c r="F56" s="59">
        <f>150000</f>
        <v>150000</v>
      </c>
      <c r="G56" s="76"/>
      <c r="H56" s="61"/>
      <c r="I56" s="61"/>
      <c r="J56" s="82"/>
      <c r="K56" s="62"/>
      <c r="L56" s="63">
        <f t="shared" si="7"/>
        <v>0</v>
      </c>
    </row>
    <row r="57" spans="1:12" ht="18.75" customHeight="1" x14ac:dyDescent="0.25">
      <c r="A57" s="181"/>
      <c r="B57" s="96" t="s">
        <v>12</v>
      </c>
      <c r="C57" s="217"/>
      <c r="D57" s="219" t="s">
        <v>53</v>
      </c>
      <c r="E57" s="333"/>
      <c r="F57" s="59">
        <f>12612</f>
        <v>12612</v>
      </c>
      <c r="G57" s="76">
        <f>2612</f>
        <v>2612</v>
      </c>
      <c r="H57" s="61"/>
      <c r="I57" s="61"/>
      <c r="J57" s="82"/>
      <c r="K57" s="62"/>
      <c r="L57" s="63">
        <f t="shared" si="7"/>
        <v>2612</v>
      </c>
    </row>
    <row r="58" spans="1:12" ht="18.75" customHeight="1" thickBot="1" x14ac:dyDescent="0.3">
      <c r="A58" s="182"/>
      <c r="B58" s="97" t="s">
        <v>13</v>
      </c>
      <c r="C58" s="218"/>
      <c r="D58" s="323"/>
      <c r="E58" s="334"/>
      <c r="F58" s="65">
        <f>150000</f>
        <v>150000</v>
      </c>
      <c r="G58" s="74"/>
      <c r="H58" s="67"/>
      <c r="I58" s="67"/>
      <c r="J58" s="98"/>
      <c r="K58" s="68"/>
      <c r="L58" s="77">
        <f t="shared" si="7"/>
        <v>0</v>
      </c>
    </row>
    <row r="59" spans="1:12" ht="37.5" customHeight="1" x14ac:dyDescent="0.25">
      <c r="A59" s="324">
        <v>8</v>
      </c>
      <c r="B59" s="70" t="s">
        <v>54</v>
      </c>
      <c r="C59" s="326" t="s">
        <v>46</v>
      </c>
      <c r="D59" s="328" t="s">
        <v>53</v>
      </c>
      <c r="E59" s="330" t="s">
        <v>28</v>
      </c>
      <c r="F59" s="214">
        <v>697520</v>
      </c>
      <c r="G59" s="197">
        <v>495480</v>
      </c>
      <c r="H59" s="179"/>
      <c r="I59" s="179"/>
      <c r="J59" s="179"/>
      <c r="K59" s="177"/>
      <c r="L59" s="178">
        <f t="shared" si="7"/>
        <v>495480</v>
      </c>
    </row>
    <row r="60" spans="1:12" ht="23.25" customHeight="1" x14ac:dyDescent="0.25">
      <c r="A60" s="324"/>
      <c r="B60" s="70" t="s">
        <v>55</v>
      </c>
      <c r="C60" s="326"/>
      <c r="D60" s="328"/>
      <c r="E60" s="330"/>
      <c r="F60" s="196"/>
      <c r="G60" s="198"/>
      <c r="H60" s="164"/>
      <c r="I60" s="164"/>
      <c r="J60" s="164"/>
      <c r="K60" s="166"/>
      <c r="L60" s="168"/>
    </row>
    <row r="61" spans="1:12" ht="18.75" customHeight="1" x14ac:dyDescent="0.25">
      <c r="A61" s="324"/>
      <c r="B61" s="58" t="s">
        <v>12</v>
      </c>
      <c r="C61" s="326"/>
      <c r="D61" s="328"/>
      <c r="E61" s="330"/>
      <c r="F61" s="59">
        <v>686520</v>
      </c>
      <c r="G61" s="72">
        <v>495480</v>
      </c>
      <c r="H61" s="61"/>
      <c r="I61" s="61"/>
      <c r="J61" s="61"/>
      <c r="K61" s="62"/>
      <c r="L61" s="63">
        <f>G61+H61+I61+J61+K61</f>
        <v>495480</v>
      </c>
    </row>
    <row r="62" spans="1:12" ht="18.75" customHeight="1" thickBot="1" x14ac:dyDescent="0.3">
      <c r="A62" s="325"/>
      <c r="B62" s="64" t="s">
        <v>13</v>
      </c>
      <c r="C62" s="327"/>
      <c r="D62" s="329"/>
      <c r="E62" s="331"/>
      <c r="F62" s="65">
        <v>11000</v>
      </c>
      <c r="G62" s="78"/>
      <c r="H62" s="67"/>
      <c r="I62" s="67"/>
      <c r="J62" s="67"/>
      <c r="K62" s="68"/>
      <c r="L62" s="77">
        <f>G62+H62+I62+J62+K62</f>
        <v>0</v>
      </c>
    </row>
    <row r="63" spans="1:12" ht="54" customHeight="1" x14ac:dyDescent="0.25">
      <c r="A63" s="180">
        <v>9</v>
      </c>
      <c r="B63" s="69" t="s">
        <v>56</v>
      </c>
      <c r="C63" s="307" t="s">
        <v>57</v>
      </c>
      <c r="D63" s="268" t="s">
        <v>58</v>
      </c>
      <c r="E63" s="312" t="s">
        <v>59</v>
      </c>
      <c r="F63" s="195">
        <f>3103619-187915</f>
        <v>2915704</v>
      </c>
      <c r="G63" s="197">
        <v>700000</v>
      </c>
      <c r="H63" s="169">
        <v>700000</v>
      </c>
      <c r="I63" s="169"/>
      <c r="J63" s="169"/>
      <c r="K63" s="171"/>
      <c r="L63" s="173">
        <f>G63+H63+I63+J63+K63</f>
        <v>1400000</v>
      </c>
    </row>
    <row r="64" spans="1:12" ht="54" customHeight="1" x14ac:dyDescent="0.25">
      <c r="A64" s="181"/>
      <c r="B64" s="70" t="s">
        <v>60</v>
      </c>
      <c r="C64" s="308"/>
      <c r="D64" s="311"/>
      <c r="E64" s="313"/>
      <c r="F64" s="196"/>
      <c r="G64" s="198"/>
      <c r="H64" s="170"/>
      <c r="I64" s="170"/>
      <c r="J64" s="170"/>
      <c r="K64" s="172"/>
      <c r="L64" s="174"/>
    </row>
    <row r="65" spans="1:12" ht="18.75" customHeight="1" x14ac:dyDescent="0.25">
      <c r="A65" s="320"/>
      <c r="B65" s="58" t="s">
        <v>12</v>
      </c>
      <c r="C65" s="309"/>
      <c r="D65" s="249"/>
      <c r="E65" s="204"/>
      <c r="F65" s="59">
        <f>3103619-187915</f>
        <v>2915704</v>
      </c>
      <c r="G65" s="76">
        <v>700000</v>
      </c>
      <c r="H65" s="61">
        <v>700000</v>
      </c>
      <c r="I65" s="61"/>
      <c r="J65" s="61"/>
      <c r="K65" s="62"/>
      <c r="L65" s="63">
        <f>G65+H65+I65+J65+K65</f>
        <v>1400000</v>
      </c>
    </row>
    <row r="66" spans="1:12" ht="18.75" customHeight="1" thickBot="1" x14ac:dyDescent="0.3">
      <c r="A66" s="321"/>
      <c r="B66" s="64" t="s">
        <v>13</v>
      </c>
      <c r="C66" s="310"/>
      <c r="D66" s="269"/>
      <c r="E66" s="322"/>
      <c r="F66" s="65"/>
      <c r="G66" s="74"/>
      <c r="H66" s="67"/>
      <c r="I66" s="67"/>
      <c r="J66" s="67"/>
      <c r="K66" s="68"/>
      <c r="L66" s="77">
        <f>G66+H66+I66+J66+K66</f>
        <v>0</v>
      </c>
    </row>
    <row r="67" spans="1:12" ht="40.5" customHeight="1" x14ac:dyDescent="0.25">
      <c r="A67" s="180">
        <v>10</v>
      </c>
      <c r="B67" s="69" t="s">
        <v>61</v>
      </c>
      <c r="C67" s="183" t="s">
        <v>62</v>
      </c>
      <c r="D67" s="187" t="s">
        <v>58</v>
      </c>
      <c r="E67" s="301" t="s">
        <v>59</v>
      </c>
      <c r="F67" s="195">
        <f>399975</f>
        <v>399975</v>
      </c>
      <c r="G67" s="197">
        <f>178610</f>
        <v>178610</v>
      </c>
      <c r="H67" s="169">
        <f>221365</f>
        <v>221365</v>
      </c>
      <c r="I67" s="169"/>
      <c r="J67" s="169"/>
      <c r="K67" s="171"/>
      <c r="L67" s="173">
        <f>G67+H67+I67+J67+K67</f>
        <v>399975</v>
      </c>
    </row>
    <row r="68" spans="1:12" ht="53.25" customHeight="1" x14ac:dyDescent="0.25">
      <c r="A68" s="181"/>
      <c r="B68" s="70" t="s">
        <v>63</v>
      </c>
      <c r="C68" s="184"/>
      <c r="D68" s="188"/>
      <c r="E68" s="203"/>
      <c r="F68" s="196"/>
      <c r="G68" s="198"/>
      <c r="H68" s="164"/>
      <c r="I68" s="164"/>
      <c r="J68" s="164"/>
      <c r="K68" s="166"/>
      <c r="L68" s="168"/>
    </row>
    <row r="69" spans="1:12" ht="18.75" customHeight="1" x14ac:dyDescent="0.25">
      <c r="A69" s="316"/>
      <c r="B69" s="58" t="s">
        <v>12</v>
      </c>
      <c r="C69" s="217"/>
      <c r="D69" s="189"/>
      <c r="E69" s="318"/>
      <c r="F69" s="59">
        <f>399975</f>
        <v>399975</v>
      </c>
      <c r="G69" s="76">
        <f>178610</f>
        <v>178610</v>
      </c>
      <c r="H69" s="61">
        <f>221365</f>
        <v>221365</v>
      </c>
      <c r="I69" s="61"/>
      <c r="J69" s="61"/>
      <c r="K69" s="62"/>
      <c r="L69" s="63">
        <f>G69+H69+I69+J69+K69</f>
        <v>399975</v>
      </c>
    </row>
    <row r="70" spans="1:12" ht="18.75" customHeight="1" thickBot="1" x14ac:dyDescent="0.3">
      <c r="A70" s="317"/>
      <c r="B70" s="64" t="s">
        <v>13</v>
      </c>
      <c r="C70" s="218"/>
      <c r="D70" s="190"/>
      <c r="E70" s="319"/>
      <c r="F70" s="65"/>
      <c r="G70" s="74"/>
      <c r="H70" s="67"/>
      <c r="I70" s="67"/>
      <c r="J70" s="67"/>
      <c r="K70" s="68"/>
      <c r="L70" s="77">
        <f>G70+H70+I70+J70+K70</f>
        <v>0</v>
      </c>
    </row>
    <row r="71" spans="1:12" ht="33" x14ac:dyDescent="0.25">
      <c r="A71" s="225">
        <v>11</v>
      </c>
      <c r="B71" s="69" t="s">
        <v>64</v>
      </c>
      <c r="C71" s="307" t="s">
        <v>46</v>
      </c>
      <c r="D71" s="268" t="s">
        <v>58</v>
      </c>
      <c r="E71" s="312" t="s">
        <v>65</v>
      </c>
      <c r="F71" s="195">
        <f>172827</f>
        <v>172827</v>
      </c>
      <c r="G71" s="197">
        <f>34566</f>
        <v>34566</v>
      </c>
      <c r="H71" s="169"/>
      <c r="I71" s="169"/>
      <c r="J71" s="303"/>
      <c r="K71" s="304"/>
      <c r="L71" s="173">
        <f>G71+H71+I71+J71+K71</f>
        <v>34566</v>
      </c>
    </row>
    <row r="72" spans="1:12" ht="99" x14ac:dyDescent="0.25">
      <c r="A72" s="207"/>
      <c r="B72" s="70" t="s">
        <v>66</v>
      </c>
      <c r="C72" s="308"/>
      <c r="D72" s="311"/>
      <c r="E72" s="313"/>
      <c r="F72" s="196"/>
      <c r="G72" s="198"/>
      <c r="H72" s="170"/>
      <c r="I72" s="170"/>
      <c r="J72" s="170"/>
      <c r="K72" s="172"/>
      <c r="L72" s="174"/>
    </row>
    <row r="73" spans="1:12" ht="18.75" customHeight="1" x14ac:dyDescent="0.25">
      <c r="A73" s="305"/>
      <c r="B73" s="58" t="s">
        <v>12</v>
      </c>
      <c r="C73" s="309"/>
      <c r="D73" s="249"/>
      <c r="E73" s="314"/>
      <c r="F73" s="59">
        <f>172827</f>
        <v>172827</v>
      </c>
      <c r="G73" s="76">
        <f>34566</f>
        <v>34566</v>
      </c>
      <c r="H73" s="61"/>
      <c r="I73" s="61"/>
      <c r="J73" s="61"/>
      <c r="K73" s="62"/>
      <c r="L73" s="63">
        <f>G73+H73+I73+J73+K73</f>
        <v>34566</v>
      </c>
    </row>
    <row r="74" spans="1:12" ht="18.75" customHeight="1" thickBot="1" x14ac:dyDescent="0.3">
      <c r="A74" s="306"/>
      <c r="B74" s="64" t="s">
        <v>13</v>
      </c>
      <c r="C74" s="310"/>
      <c r="D74" s="269"/>
      <c r="E74" s="315"/>
      <c r="F74" s="65"/>
      <c r="G74" s="78"/>
      <c r="H74" s="67"/>
      <c r="I74" s="67"/>
      <c r="J74" s="67"/>
      <c r="K74" s="68"/>
      <c r="L74" s="77">
        <f>G74+H74+I74+J74+K74</f>
        <v>0</v>
      </c>
    </row>
    <row r="75" spans="1:12" ht="42.75" customHeight="1" x14ac:dyDescent="0.25">
      <c r="A75" s="225">
        <v>12</v>
      </c>
      <c r="B75" s="69" t="s">
        <v>67</v>
      </c>
      <c r="C75" s="183" t="s">
        <v>68</v>
      </c>
      <c r="D75" s="187" t="s">
        <v>58</v>
      </c>
      <c r="E75" s="301" t="s">
        <v>65</v>
      </c>
      <c r="F75" s="195">
        <f>370078</f>
        <v>370078</v>
      </c>
      <c r="G75" s="197">
        <f>211258</f>
        <v>211258</v>
      </c>
      <c r="H75" s="169">
        <f>121010</f>
        <v>121010</v>
      </c>
      <c r="I75" s="171">
        <f>37810</f>
        <v>37810</v>
      </c>
      <c r="J75" s="169"/>
      <c r="K75" s="287"/>
      <c r="L75" s="173">
        <f>G75+H75+I75+J75+K75</f>
        <v>370078</v>
      </c>
    </row>
    <row r="76" spans="1:12" ht="56.25" customHeight="1" x14ac:dyDescent="0.25">
      <c r="A76" s="207"/>
      <c r="B76" s="70" t="s">
        <v>69</v>
      </c>
      <c r="C76" s="184"/>
      <c r="D76" s="188"/>
      <c r="E76" s="203"/>
      <c r="F76" s="196"/>
      <c r="G76" s="198"/>
      <c r="H76" s="164"/>
      <c r="I76" s="166"/>
      <c r="J76" s="164"/>
      <c r="K76" s="298"/>
      <c r="L76" s="168"/>
    </row>
    <row r="77" spans="1:12" ht="18.75" customHeight="1" x14ac:dyDescent="0.25">
      <c r="A77" s="266"/>
      <c r="B77" s="58" t="s">
        <v>12</v>
      </c>
      <c r="C77" s="217"/>
      <c r="D77" s="189"/>
      <c r="E77" s="302"/>
      <c r="F77" s="59">
        <f>370078</f>
        <v>370078</v>
      </c>
      <c r="G77" s="76">
        <f>211258</f>
        <v>211258</v>
      </c>
      <c r="H77" s="61">
        <f>121010</f>
        <v>121010</v>
      </c>
      <c r="I77" s="62">
        <f>37810</f>
        <v>37810</v>
      </c>
      <c r="J77" s="61"/>
      <c r="K77" s="82"/>
      <c r="L77" s="63">
        <f>G77+H77+I77+J77+K77</f>
        <v>370078</v>
      </c>
    </row>
    <row r="78" spans="1:12" ht="18.75" customHeight="1" thickBot="1" x14ac:dyDescent="0.3">
      <c r="A78" s="266"/>
      <c r="B78" s="104" t="s">
        <v>13</v>
      </c>
      <c r="C78" s="299"/>
      <c r="D78" s="300"/>
      <c r="E78" s="302"/>
      <c r="F78" s="65"/>
      <c r="G78" s="105"/>
      <c r="H78" s="156"/>
      <c r="I78" s="155"/>
      <c r="J78" s="156"/>
      <c r="K78" s="106"/>
      <c r="L78" s="107">
        <f>G78+H78+I78+J78+K78</f>
        <v>0</v>
      </c>
    </row>
    <row r="79" spans="1:12" ht="39.75" customHeight="1" x14ac:dyDescent="0.25">
      <c r="A79" s="289">
        <v>13</v>
      </c>
      <c r="B79" s="108" t="s">
        <v>70</v>
      </c>
      <c r="C79" s="292" t="s">
        <v>71</v>
      </c>
      <c r="D79" s="294" t="s">
        <v>58</v>
      </c>
      <c r="E79" s="296" t="s">
        <v>65</v>
      </c>
      <c r="F79" s="195">
        <f>399952</f>
        <v>399952</v>
      </c>
      <c r="G79" s="197">
        <f>173958</f>
        <v>173958</v>
      </c>
      <c r="H79" s="169">
        <f>225994</f>
        <v>225994</v>
      </c>
      <c r="I79" s="287"/>
      <c r="J79" s="169"/>
      <c r="K79" s="288"/>
      <c r="L79" s="173">
        <f>G79+H79+I79+J79+K79</f>
        <v>399952</v>
      </c>
    </row>
    <row r="80" spans="1:12" ht="41.25" customHeight="1" x14ac:dyDescent="0.25">
      <c r="A80" s="290"/>
      <c r="B80" s="71" t="s">
        <v>72</v>
      </c>
      <c r="C80" s="280"/>
      <c r="D80" s="282"/>
      <c r="E80" s="284"/>
      <c r="F80" s="286"/>
      <c r="G80" s="198"/>
      <c r="H80" s="273"/>
      <c r="I80" s="275"/>
      <c r="J80" s="273"/>
      <c r="K80" s="277"/>
      <c r="L80" s="168"/>
    </row>
    <row r="81" spans="1:12" ht="18.75" customHeight="1" x14ac:dyDescent="0.25">
      <c r="A81" s="290"/>
      <c r="B81" s="71" t="s">
        <v>12</v>
      </c>
      <c r="C81" s="280"/>
      <c r="D81" s="282"/>
      <c r="E81" s="284"/>
      <c r="F81" s="59">
        <f>399952</f>
        <v>399952</v>
      </c>
      <c r="G81" s="76">
        <f>173958</f>
        <v>173958</v>
      </c>
      <c r="H81" s="61">
        <f>225994</f>
        <v>225994</v>
      </c>
      <c r="I81" s="82"/>
      <c r="J81" s="61"/>
      <c r="K81" s="109"/>
      <c r="L81" s="63">
        <f>G81+H81+I81+J81+K81</f>
        <v>399952</v>
      </c>
    </row>
    <row r="82" spans="1:12" ht="18.75" customHeight="1" thickBot="1" x14ac:dyDescent="0.3">
      <c r="A82" s="291"/>
      <c r="B82" s="73" t="s">
        <v>13</v>
      </c>
      <c r="C82" s="293"/>
      <c r="D82" s="295"/>
      <c r="E82" s="297"/>
      <c r="F82" s="65"/>
      <c r="G82" s="74"/>
      <c r="H82" s="67"/>
      <c r="I82" s="98"/>
      <c r="J82" s="67"/>
      <c r="K82" s="110"/>
      <c r="L82" s="63">
        <f>G82+H82+I82+J82+K82</f>
        <v>0</v>
      </c>
    </row>
    <row r="83" spans="1:12" ht="39.75" customHeight="1" x14ac:dyDescent="0.25">
      <c r="A83" s="289">
        <v>14</v>
      </c>
      <c r="B83" s="108" t="s">
        <v>73</v>
      </c>
      <c r="C83" s="292" t="s">
        <v>74</v>
      </c>
      <c r="D83" s="294" t="s">
        <v>58</v>
      </c>
      <c r="E83" s="296" t="s">
        <v>65</v>
      </c>
      <c r="F83" s="195">
        <v>217000</v>
      </c>
      <c r="G83" s="197">
        <v>79000</v>
      </c>
      <c r="H83" s="169">
        <v>94000</v>
      </c>
      <c r="I83" s="287">
        <v>44000</v>
      </c>
      <c r="J83" s="169"/>
      <c r="K83" s="288"/>
      <c r="L83" s="173">
        <f>G83+H83+I83+J83+K83</f>
        <v>217000</v>
      </c>
    </row>
    <row r="84" spans="1:12" ht="40.5" customHeight="1" x14ac:dyDescent="0.25">
      <c r="A84" s="290"/>
      <c r="B84" s="71" t="s">
        <v>75</v>
      </c>
      <c r="C84" s="280"/>
      <c r="D84" s="282"/>
      <c r="E84" s="284"/>
      <c r="F84" s="286"/>
      <c r="G84" s="198"/>
      <c r="H84" s="273"/>
      <c r="I84" s="275"/>
      <c r="J84" s="273"/>
      <c r="K84" s="277"/>
      <c r="L84" s="168"/>
    </row>
    <row r="85" spans="1:12" ht="18.75" customHeight="1" x14ac:dyDescent="0.25">
      <c r="A85" s="290"/>
      <c r="B85" s="71" t="s">
        <v>12</v>
      </c>
      <c r="C85" s="280"/>
      <c r="D85" s="282"/>
      <c r="E85" s="284"/>
      <c r="F85" s="59">
        <v>217000</v>
      </c>
      <c r="G85" s="76">
        <v>79000</v>
      </c>
      <c r="H85" s="61">
        <v>94000</v>
      </c>
      <c r="I85" s="82">
        <v>44000</v>
      </c>
      <c r="J85" s="61"/>
      <c r="K85" s="109"/>
      <c r="L85" s="63">
        <f>G85+H85+I85+J85+K85</f>
        <v>217000</v>
      </c>
    </row>
    <row r="86" spans="1:12" ht="18.75" customHeight="1" thickBot="1" x14ac:dyDescent="0.3">
      <c r="A86" s="291"/>
      <c r="B86" s="73" t="s">
        <v>13</v>
      </c>
      <c r="C86" s="293"/>
      <c r="D86" s="295"/>
      <c r="E86" s="297"/>
      <c r="F86" s="65"/>
      <c r="G86" s="74"/>
      <c r="H86" s="67"/>
      <c r="I86" s="98"/>
      <c r="J86" s="67"/>
      <c r="K86" s="110"/>
      <c r="L86" s="77">
        <f>G86+H86+I86+J86+K86</f>
        <v>0</v>
      </c>
    </row>
    <row r="87" spans="1:12" ht="36" customHeight="1" x14ac:dyDescent="0.25">
      <c r="A87" s="278">
        <v>15</v>
      </c>
      <c r="B87" s="162" t="s">
        <v>76</v>
      </c>
      <c r="C87" s="280" t="s">
        <v>71</v>
      </c>
      <c r="D87" s="282" t="s">
        <v>58</v>
      </c>
      <c r="E87" s="284" t="s">
        <v>65</v>
      </c>
      <c r="F87" s="214">
        <v>572527</v>
      </c>
      <c r="G87" s="215">
        <f>349459</f>
        <v>349459</v>
      </c>
      <c r="H87" s="179">
        <v>223068</v>
      </c>
      <c r="I87" s="274"/>
      <c r="J87" s="179"/>
      <c r="K87" s="276"/>
      <c r="L87" s="255">
        <f>G87+H87+I87+J87+K87</f>
        <v>572527</v>
      </c>
    </row>
    <row r="88" spans="1:12" ht="43.5" customHeight="1" x14ac:dyDescent="0.25">
      <c r="A88" s="278"/>
      <c r="B88" s="71" t="s">
        <v>77</v>
      </c>
      <c r="C88" s="280"/>
      <c r="D88" s="282"/>
      <c r="E88" s="284"/>
      <c r="F88" s="286"/>
      <c r="G88" s="198"/>
      <c r="H88" s="273"/>
      <c r="I88" s="275"/>
      <c r="J88" s="273"/>
      <c r="K88" s="277"/>
      <c r="L88" s="256"/>
    </row>
    <row r="89" spans="1:12" ht="18.75" customHeight="1" x14ac:dyDescent="0.25">
      <c r="A89" s="278"/>
      <c r="B89" s="71" t="s">
        <v>12</v>
      </c>
      <c r="C89" s="280"/>
      <c r="D89" s="282"/>
      <c r="E89" s="284"/>
      <c r="F89" s="59">
        <v>572527</v>
      </c>
      <c r="G89" s="76">
        <f>349459</f>
        <v>349459</v>
      </c>
      <c r="H89" s="61">
        <v>223068</v>
      </c>
      <c r="I89" s="82"/>
      <c r="J89" s="61"/>
      <c r="K89" s="109"/>
      <c r="L89" s="144">
        <f>G89+H89+I89+J89+K89</f>
        <v>572527</v>
      </c>
    </row>
    <row r="90" spans="1:12" ht="18.75" customHeight="1" x14ac:dyDescent="0.25">
      <c r="A90" s="279"/>
      <c r="B90" s="71" t="s">
        <v>13</v>
      </c>
      <c r="C90" s="281"/>
      <c r="D90" s="283"/>
      <c r="E90" s="285"/>
      <c r="F90" s="59"/>
      <c r="G90" s="76"/>
      <c r="H90" s="61"/>
      <c r="I90" s="82"/>
      <c r="J90" s="61"/>
      <c r="K90" s="109"/>
      <c r="L90" s="144">
        <f>G90+H90+I90+J90+K90</f>
        <v>0</v>
      </c>
    </row>
    <row r="91" spans="1:12" ht="21" customHeight="1" x14ac:dyDescent="0.25">
      <c r="A91" s="157" t="s">
        <v>78</v>
      </c>
      <c r="B91" s="257" t="s">
        <v>79</v>
      </c>
      <c r="C91" s="258"/>
      <c r="D91" s="258"/>
      <c r="E91" s="259"/>
      <c r="F91" s="158">
        <f t="shared" ref="F91:J91" si="8">F94+F97+F101+F105+F109+F113+F117+F120+F123+F126+F129+F132+F136+F140+F144</f>
        <v>44720243</v>
      </c>
      <c r="G91" s="159">
        <f t="shared" si="8"/>
        <v>4269309</v>
      </c>
      <c r="H91" s="158">
        <f t="shared" si="8"/>
        <v>8346450</v>
      </c>
      <c r="I91" s="158">
        <f t="shared" si="8"/>
        <v>22083109</v>
      </c>
      <c r="J91" s="158">
        <f t="shared" si="8"/>
        <v>2870900</v>
      </c>
      <c r="K91" s="160">
        <f>K94+K97+K101+K105+K109+K113+K117+K120+K123+K126+K132+K136+K140+K144</f>
        <v>923100</v>
      </c>
      <c r="L91" s="161">
        <f>L94+L97+L101+L105+L109+L113+L117+L120+L123+L126+L129+L132+L136+L140+L144</f>
        <v>38670868</v>
      </c>
    </row>
    <row r="92" spans="1:12" ht="21" customHeight="1" x14ac:dyDescent="0.25">
      <c r="A92" s="141"/>
      <c r="B92" s="260" t="s">
        <v>18</v>
      </c>
      <c r="C92" s="261"/>
      <c r="D92" s="261"/>
      <c r="E92" s="262"/>
      <c r="F92" s="59">
        <f t="shared" ref="F92:K93" si="9">F95+F99+F103+F107+F111+F115+F118+F121+F124+F127+F130+F134+F138+F142+F146</f>
        <v>4658164</v>
      </c>
      <c r="G92" s="111">
        <f>G95+G99+G103+G107+G111+G115+G118+G121+G124+G127+G130+G134+G138+G142+G146</f>
        <v>641964</v>
      </c>
      <c r="H92" s="112">
        <f t="shared" si="9"/>
        <v>1026700</v>
      </c>
      <c r="I92" s="112">
        <f t="shared" si="9"/>
        <v>710900</v>
      </c>
      <c r="J92" s="112">
        <f t="shared" si="9"/>
        <v>870900</v>
      </c>
      <c r="K92" s="112">
        <f t="shared" si="9"/>
        <v>923100</v>
      </c>
      <c r="L92" s="63">
        <f>L95+L99+L103+L107+L111+L115+L118+L121+L124+L127+L130+L134+L138+L142+L146</f>
        <v>4351564</v>
      </c>
    </row>
    <row r="93" spans="1:12" ht="21" customHeight="1" thickBot="1" x14ac:dyDescent="0.3">
      <c r="A93" s="142"/>
      <c r="B93" s="263" t="s">
        <v>19</v>
      </c>
      <c r="C93" s="264"/>
      <c r="D93" s="264"/>
      <c r="E93" s="265"/>
      <c r="F93" s="65">
        <f t="shared" si="9"/>
        <v>40062079</v>
      </c>
      <c r="G93" s="113">
        <f t="shared" si="9"/>
        <v>3627345</v>
      </c>
      <c r="H93" s="114">
        <f t="shared" si="9"/>
        <v>7319750</v>
      </c>
      <c r="I93" s="114">
        <f t="shared" si="9"/>
        <v>21372209</v>
      </c>
      <c r="J93" s="114">
        <f t="shared" si="9"/>
        <v>2000000</v>
      </c>
      <c r="K93" s="114">
        <f t="shared" si="9"/>
        <v>0</v>
      </c>
      <c r="L93" s="77">
        <f>L96+L100+L104+L108+L112+L116+L119+L122+L125+L128+L131+L135+L139+L143+L147</f>
        <v>34319304</v>
      </c>
    </row>
    <row r="94" spans="1:12" ht="26.25" customHeight="1" x14ac:dyDescent="0.25">
      <c r="A94" s="225">
        <v>16</v>
      </c>
      <c r="B94" s="69" t="s">
        <v>80</v>
      </c>
      <c r="C94" s="183" t="s">
        <v>81</v>
      </c>
      <c r="D94" s="268" t="s">
        <v>82</v>
      </c>
      <c r="E94" s="270" t="s">
        <v>83</v>
      </c>
      <c r="F94" s="151">
        <f>1149000</f>
        <v>1149000</v>
      </c>
      <c r="G94" s="146">
        <f>183000</f>
        <v>183000</v>
      </c>
      <c r="H94" s="149">
        <f>188000</f>
        <v>188000</v>
      </c>
      <c r="I94" s="149">
        <f>194000</f>
        <v>194000</v>
      </c>
      <c r="J94" s="149">
        <f>200000</f>
        <v>200000</v>
      </c>
      <c r="K94" s="152">
        <f>206000</f>
        <v>206000</v>
      </c>
      <c r="L94" s="150">
        <f>F94-U94</f>
        <v>1149000</v>
      </c>
    </row>
    <row r="95" spans="1:12" ht="18.75" customHeight="1" x14ac:dyDescent="0.25">
      <c r="A95" s="266"/>
      <c r="B95" s="58" t="s">
        <v>12</v>
      </c>
      <c r="C95" s="217"/>
      <c r="D95" s="249"/>
      <c r="E95" s="271"/>
      <c r="F95" s="59">
        <f>1149000</f>
        <v>1149000</v>
      </c>
      <c r="G95" s="72">
        <f>183000</f>
        <v>183000</v>
      </c>
      <c r="H95" s="61">
        <f>188000</f>
        <v>188000</v>
      </c>
      <c r="I95" s="61">
        <f>194000</f>
        <v>194000</v>
      </c>
      <c r="J95" s="61">
        <f>200000</f>
        <v>200000</v>
      </c>
      <c r="K95" s="62">
        <f>206000</f>
        <v>206000</v>
      </c>
      <c r="L95" s="63">
        <f>F95-U95</f>
        <v>1149000</v>
      </c>
    </row>
    <row r="96" spans="1:12" ht="18.75" customHeight="1" thickBot="1" x14ac:dyDescent="0.3">
      <c r="A96" s="267"/>
      <c r="B96" s="64" t="s">
        <v>13</v>
      </c>
      <c r="C96" s="218"/>
      <c r="D96" s="269"/>
      <c r="E96" s="272"/>
      <c r="F96" s="65"/>
      <c r="G96" s="115"/>
      <c r="H96" s="67"/>
      <c r="I96" s="67"/>
      <c r="J96" s="67"/>
      <c r="K96" s="68"/>
      <c r="L96" s="77">
        <f>F96-U96</f>
        <v>0</v>
      </c>
    </row>
    <row r="97" spans="1:12" ht="40.5" customHeight="1" x14ac:dyDescent="0.25">
      <c r="A97" s="251">
        <v>17</v>
      </c>
      <c r="B97" s="57" t="s">
        <v>84</v>
      </c>
      <c r="C97" s="244" t="s">
        <v>85</v>
      </c>
      <c r="D97" s="245" t="s">
        <v>22</v>
      </c>
      <c r="E97" s="254" t="s">
        <v>86</v>
      </c>
      <c r="F97" s="214">
        <f>15237046</f>
        <v>15237046</v>
      </c>
      <c r="G97" s="215"/>
      <c r="H97" s="179"/>
      <c r="I97" s="179">
        <f>15000000</f>
        <v>15000000</v>
      </c>
      <c r="J97" s="179"/>
      <c r="K97" s="177"/>
      <c r="L97" s="178">
        <f>G97+H97+I97+J97+K97</f>
        <v>15000000</v>
      </c>
    </row>
    <row r="98" spans="1:12" ht="22.5" customHeight="1" x14ac:dyDescent="0.25">
      <c r="A98" s="251"/>
      <c r="B98" s="57" t="s">
        <v>87</v>
      </c>
      <c r="C98" s="244"/>
      <c r="D98" s="245"/>
      <c r="E98" s="254"/>
      <c r="F98" s="170"/>
      <c r="G98" s="198"/>
      <c r="H98" s="164"/>
      <c r="I98" s="164"/>
      <c r="J98" s="164"/>
      <c r="K98" s="166"/>
      <c r="L98" s="168"/>
    </row>
    <row r="99" spans="1:12" ht="18.75" customHeight="1" x14ac:dyDescent="0.25">
      <c r="A99" s="252"/>
      <c r="B99" s="58" t="s">
        <v>12</v>
      </c>
      <c r="C99" s="208"/>
      <c r="D99" s="236"/>
      <c r="E99" s="193"/>
      <c r="F99" s="59"/>
      <c r="G99" s="76"/>
      <c r="H99" s="61"/>
      <c r="I99" s="61"/>
      <c r="J99" s="61"/>
      <c r="K99" s="62"/>
      <c r="L99" s="63">
        <f>G99+H99+I99+J99+K99</f>
        <v>0</v>
      </c>
    </row>
    <row r="100" spans="1:12" ht="18.75" customHeight="1" x14ac:dyDescent="0.25">
      <c r="A100" s="253"/>
      <c r="B100" s="58" t="s">
        <v>88</v>
      </c>
      <c r="C100" s="208"/>
      <c r="D100" s="236"/>
      <c r="E100" s="250"/>
      <c r="F100" s="59">
        <f>15237046</f>
        <v>15237046</v>
      </c>
      <c r="G100" s="76"/>
      <c r="H100" s="61"/>
      <c r="I100" s="61">
        <f>15000000</f>
        <v>15000000</v>
      </c>
      <c r="J100" s="61"/>
      <c r="K100" s="62"/>
      <c r="L100" s="63">
        <f>G100+H100+I100+J100+K100</f>
        <v>15000000</v>
      </c>
    </row>
    <row r="101" spans="1:12" ht="59.25" customHeight="1" x14ac:dyDescent="0.25">
      <c r="A101" s="247">
        <v>18</v>
      </c>
      <c r="B101" s="143" t="s">
        <v>89</v>
      </c>
      <c r="C101" s="208" t="s">
        <v>85</v>
      </c>
      <c r="D101" s="219" t="s">
        <v>22</v>
      </c>
      <c r="E101" s="220" t="s">
        <v>90</v>
      </c>
      <c r="F101" s="223">
        <f>14668467</f>
        <v>14668467</v>
      </c>
      <c r="G101" s="224"/>
      <c r="H101" s="163">
        <v>4000000</v>
      </c>
      <c r="I101" s="163">
        <v>5602209</v>
      </c>
      <c r="J101" s="163"/>
      <c r="K101" s="165"/>
      <c r="L101" s="167">
        <f>G101+H101+I101+J101+K101</f>
        <v>9602209</v>
      </c>
    </row>
    <row r="102" spans="1:12" ht="24.75" customHeight="1" x14ac:dyDescent="0.25">
      <c r="A102" s="207"/>
      <c r="B102" s="57" t="s">
        <v>87</v>
      </c>
      <c r="C102" s="184"/>
      <c r="D102" s="188"/>
      <c r="E102" s="192"/>
      <c r="F102" s="170"/>
      <c r="G102" s="198"/>
      <c r="H102" s="164"/>
      <c r="I102" s="164"/>
      <c r="J102" s="164"/>
      <c r="K102" s="166"/>
      <c r="L102" s="168"/>
    </row>
    <row r="103" spans="1:12" ht="18.75" customHeight="1" x14ac:dyDescent="0.25">
      <c r="A103" s="232"/>
      <c r="B103" s="58" t="s">
        <v>12</v>
      </c>
      <c r="C103" s="217"/>
      <c r="D103" s="249"/>
      <c r="E103" s="193"/>
      <c r="F103" s="59"/>
      <c r="G103" s="76"/>
      <c r="H103" s="61"/>
      <c r="I103" s="61"/>
      <c r="J103" s="61"/>
      <c r="K103" s="62"/>
      <c r="L103" s="63">
        <f>G103+H103+I103+J103+K103</f>
        <v>0</v>
      </c>
    </row>
    <row r="104" spans="1:12" ht="18.75" customHeight="1" x14ac:dyDescent="0.25">
      <c r="A104" s="248"/>
      <c r="B104" s="58" t="s">
        <v>13</v>
      </c>
      <c r="C104" s="217"/>
      <c r="D104" s="249"/>
      <c r="E104" s="250"/>
      <c r="F104" s="59">
        <f>14668467</f>
        <v>14668467</v>
      </c>
      <c r="G104" s="76"/>
      <c r="H104" s="61">
        <v>4000000</v>
      </c>
      <c r="I104" s="61">
        <v>5602209</v>
      </c>
      <c r="J104" s="61"/>
      <c r="K104" s="62"/>
      <c r="L104" s="63">
        <f>G104+H104+I104+J104+K104</f>
        <v>9602209</v>
      </c>
    </row>
    <row r="105" spans="1:12" ht="39" customHeight="1" x14ac:dyDescent="0.25">
      <c r="A105" s="207">
        <v>19</v>
      </c>
      <c r="B105" s="57" t="s">
        <v>91</v>
      </c>
      <c r="C105" s="244" t="s">
        <v>92</v>
      </c>
      <c r="D105" s="245" t="s">
        <v>22</v>
      </c>
      <c r="E105" s="192" t="s">
        <v>93</v>
      </c>
      <c r="F105" s="214">
        <f>2031980</f>
        <v>2031980</v>
      </c>
      <c r="G105" s="215"/>
      <c r="H105" s="179"/>
      <c r="I105" s="179"/>
      <c r="J105" s="179">
        <v>2000000</v>
      </c>
      <c r="K105" s="177"/>
      <c r="L105" s="178">
        <f>G105+H105+I105+J105+K105</f>
        <v>2000000</v>
      </c>
    </row>
    <row r="106" spans="1:12" ht="23.25" customHeight="1" x14ac:dyDescent="0.25">
      <c r="A106" s="207"/>
      <c r="B106" s="57" t="s">
        <v>94</v>
      </c>
      <c r="C106" s="244"/>
      <c r="D106" s="245"/>
      <c r="E106" s="192"/>
      <c r="F106" s="170"/>
      <c r="G106" s="198"/>
      <c r="H106" s="164"/>
      <c r="I106" s="164"/>
      <c r="J106" s="164"/>
      <c r="K106" s="166"/>
      <c r="L106" s="168"/>
    </row>
    <row r="107" spans="1:12" ht="18.75" customHeight="1" x14ac:dyDescent="0.25">
      <c r="A107" s="232"/>
      <c r="B107" s="58" t="s">
        <v>12</v>
      </c>
      <c r="C107" s="227"/>
      <c r="D107" s="236"/>
      <c r="E107" s="193"/>
      <c r="F107" s="59"/>
      <c r="G107" s="76"/>
      <c r="H107" s="61"/>
      <c r="I107" s="61"/>
      <c r="J107" s="61"/>
      <c r="K107" s="62"/>
      <c r="L107" s="63">
        <f>G107+H107+I107+J107+K107</f>
        <v>0</v>
      </c>
    </row>
    <row r="108" spans="1:12" ht="18.75" customHeight="1" thickBot="1" x14ac:dyDescent="0.3">
      <c r="A108" s="233"/>
      <c r="B108" s="64" t="s">
        <v>88</v>
      </c>
      <c r="C108" s="246"/>
      <c r="D108" s="237"/>
      <c r="E108" s="194"/>
      <c r="F108" s="65">
        <f>2031980</f>
        <v>2031980</v>
      </c>
      <c r="G108" s="74"/>
      <c r="H108" s="67"/>
      <c r="I108" s="67"/>
      <c r="J108" s="67">
        <v>2000000</v>
      </c>
      <c r="K108" s="68"/>
      <c r="L108" s="77">
        <f>G108+H108+I108+J108+K108</f>
        <v>2000000</v>
      </c>
    </row>
    <row r="109" spans="1:12" ht="22.5" customHeight="1" x14ac:dyDescent="0.25">
      <c r="A109" s="225">
        <v>20</v>
      </c>
      <c r="B109" s="116" t="s">
        <v>95</v>
      </c>
      <c r="C109" s="226" t="s">
        <v>62</v>
      </c>
      <c r="D109" s="229" t="s">
        <v>22</v>
      </c>
      <c r="E109" s="191" t="s">
        <v>96</v>
      </c>
      <c r="F109" s="195">
        <f>730000</f>
        <v>730000</v>
      </c>
      <c r="G109" s="197">
        <f>300000</f>
        <v>300000</v>
      </c>
      <c r="H109" s="169">
        <f>300000</f>
        <v>300000</v>
      </c>
      <c r="I109" s="169"/>
      <c r="J109" s="169"/>
      <c r="K109" s="171"/>
      <c r="L109" s="173">
        <f>G109+H109+I109+J109+K109</f>
        <v>600000</v>
      </c>
    </row>
    <row r="110" spans="1:12" ht="23.25" customHeight="1" x14ac:dyDescent="0.25">
      <c r="A110" s="207"/>
      <c r="B110" s="57" t="s">
        <v>97</v>
      </c>
      <c r="C110" s="244"/>
      <c r="D110" s="245"/>
      <c r="E110" s="192"/>
      <c r="F110" s="170"/>
      <c r="G110" s="198"/>
      <c r="H110" s="164"/>
      <c r="I110" s="164"/>
      <c r="J110" s="164"/>
      <c r="K110" s="166"/>
      <c r="L110" s="168"/>
    </row>
    <row r="111" spans="1:12" ht="18.75" customHeight="1" x14ac:dyDescent="0.25">
      <c r="A111" s="232"/>
      <c r="B111" s="58" t="s">
        <v>12</v>
      </c>
      <c r="C111" s="227"/>
      <c r="D111" s="236"/>
      <c r="E111" s="193"/>
      <c r="F111" s="59"/>
      <c r="G111" s="76"/>
      <c r="H111" s="61"/>
      <c r="I111" s="61"/>
      <c r="J111" s="61"/>
      <c r="K111" s="62"/>
      <c r="L111" s="63">
        <f>G111+H111+I111+J111+K111</f>
        <v>0</v>
      </c>
    </row>
    <row r="112" spans="1:12" ht="18.75" customHeight="1" thickBot="1" x14ac:dyDescent="0.3">
      <c r="A112" s="233"/>
      <c r="B112" s="64" t="s">
        <v>88</v>
      </c>
      <c r="C112" s="246"/>
      <c r="D112" s="237"/>
      <c r="E112" s="194"/>
      <c r="F112" s="65">
        <f>730000</f>
        <v>730000</v>
      </c>
      <c r="G112" s="74">
        <f>300000</f>
        <v>300000</v>
      </c>
      <c r="H112" s="67">
        <f>300000</f>
        <v>300000</v>
      </c>
      <c r="I112" s="67"/>
      <c r="J112" s="67"/>
      <c r="K112" s="68"/>
      <c r="L112" s="77">
        <f>G112+H112+I112+J112+K112</f>
        <v>600000</v>
      </c>
    </row>
    <row r="113" spans="1:12" ht="39" customHeight="1" x14ac:dyDescent="0.25">
      <c r="A113" s="225">
        <v>21</v>
      </c>
      <c r="B113" s="116" t="s">
        <v>98</v>
      </c>
      <c r="C113" s="226" t="s">
        <v>46</v>
      </c>
      <c r="D113" s="229" t="s">
        <v>22</v>
      </c>
      <c r="E113" s="191" t="s">
        <v>99</v>
      </c>
      <c r="F113" s="195">
        <f>560000</f>
        <v>560000</v>
      </c>
      <c r="G113" s="197">
        <f>380000</f>
        <v>380000</v>
      </c>
      <c r="H113" s="169"/>
      <c r="I113" s="169"/>
      <c r="J113" s="169"/>
      <c r="K113" s="171"/>
      <c r="L113" s="173">
        <f>G113+H113+I113+J113+K113</f>
        <v>380000</v>
      </c>
    </row>
    <row r="114" spans="1:12" ht="22.5" customHeight="1" x14ac:dyDescent="0.25">
      <c r="A114" s="207"/>
      <c r="B114" s="57" t="s">
        <v>97</v>
      </c>
      <c r="C114" s="244"/>
      <c r="D114" s="245"/>
      <c r="E114" s="192"/>
      <c r="F114" s="196"/>
      <c r="G114" s="198"/>
      <c r="H114" s="170"/>
      <c r="I114" s="170"/>
      <c r="J114" s="170"/>
      <c r="K114" s="172"/>
      <c r="L114" s="174"/>
    </row>
    <row r="115" spans="1:12" ht="18.75" customHeight="1" x14ac:dyDescent="0.25">
      <c r="A115" s="232"/>
      <c r="B115" s="58" t="s">
        <v>12</v>
      </c>
      <c r="C115" s="234"/>
      <c r="D115" s="236"/>
      <c r="E115" s="193"/>
      <c r="F115" s="59"/>
      <c r="G115" s="76"/>
      <c r="H115" s="61"/>
      <c r="I115" s="61"/>
      <c r="J115" s="61"/>
      <c r="K115" s="62"/>
      <c r="L115" s="63">
        <f t="shared" ref="L115:L132" si="10">G115+H115+I115+J115+K115</f>
        <v>0</v>
      </c>
    </row>
    <row r="116" spans="1:12" ht="36.75" customHeight="1" thickBot="1" x14ac:dyDescent="0.3">
      <c r="A116" s="233"/>
      <c r="B116" s="64" t="s">
        <v>100</v>
      </c>
      <c r="C116" s="235"/>
      <c r="D116" s="237"/>
      <c r="E116" s="194"/>
      <c r="F116" s="65">
        <f>560000</f>
        <v>560000</v>
      </c>
      <c r="G116" s="74">
        <f>380000</f>
        <v>380000</v>
      </c>
      <c r="H116" s="67"/>
      <c r="I116" s="67"/>
      <c r="J116" s="67"/>
      <c r="K116" s="68"/>
      <c r="L116" s="77">
        <f t="shared" si="10"/>
        <v>380000</v>
      </c>
    </row>
    <row r="117" spans="1:12" ht="41.25" customHeight="1" x14ac:dyDescent="0.25">
      <c r="A117" s="225">
        <v>22</v>
      </c>
      <c r="B117" s="69" t="s">
        <v>101</v>
      </c>
      <c r="C117" s="226" t="s">
        <v>46</v>
      </c>
      <c r="D117" s="229" t="s">
        <v>102</v>
      </c>
      <c r="E117" s="191" t="s">
        <v>103</v>
      </c>
      <c r="F117" s="151">
        <f>585564</f>
        <v>585564</v>
      </c>
      <c r="G117" s="117">
        <f>278964</f>
        <v>278964</v>
      </c>
      <c r="H117" s="149"/>
      <c r="I117" s="149"/>
      <c r="J117" s="149"/>
      <c r="K117" s="152"/>
      <c r="L117" s="150">
        <f t="shared" si="10"/>
        <v>278964</v>
      </c>
    </row>
    <row r="118" spans="1:12" ht="18.75" customHeight="1" x14ac:dyDescent="0.25">
      <c r="A118" s="232"/>
      <c r="B118" s="58" t="s">
        <v>12</v>
      </c>
      <c r="C118" s="234"/>
      <c r="D118" s="236"/>
      <c r="E118" s="193"/>
      <c r="F118" s="59">
        <f>585564</f>
        <v>585564</v>
      </c>
      <c r="G118" s="76">
        <f>278964</f>
        <v>278964</v>
      </c>
      <c r="H118" s="61"/>
      <c r="I118" s="61"/>
      <c r="J118" s="61"/>
      <c r="K118" s="62"/>
      <c r="L118" s="63">
        <f t="shared" si="10"/>
        <v>278964</v>
      </c>
    </row>
    <row r="119" spans="1:12" ht="18.75" customHeight="1" thickBot="1" x14ac:dyDescent="0.3">
      <c r="A119" s="233"/>
      <c r="B119" s="64" t="s">
        <v>88</v>
      </c>
      <c r="C119" s="235"/>
      <c r="D119" s="237"/>
      <c r="E119" s="194"/>
      <c r="F119" s="65"/>
      <c r="G119" s="74"/>
      <c r="H119" s="67"/>
      <c r="I119" s="67"/>
      <c r="J119" s="67"/>
      <c r="K119" s="68"/>
      <c r="L119" s="77">
        <f t="shared" si="10"/>
        <v>0</v>
      </c>
    </row>
    <row r="120" spans="1:12" ht="45.75" customHeight="1" x14ac:dyDescent="0.25">
      <c r="A120" s="225">
        <v>23</v>
      </c>
      <c r="B120" s="69" t="s">
        <v>104</v>
      </c>
      <c r="C120" s="226" t="s">
        <v>105</v>
      </c>
      <c r="D120" s="229" t="s">
        <v>102</v>
      </c>
      <c r="E120" s="191" t="s">
        <v>28</v>
      </c>
      <c r="F120" s="151">
        <f>861800</f>
        <v>861800</v>
      </c>
      <c r="G120" s="117"/>
      <c r="H120" s="149">
        <f>471600</f>
        <v>471600</v>
      </c>
      <c r="I120" s="149">
        <f>290200</f>
        <v>290200</v>
      </c>
      <c r="J120" s="149">
        <f>100000</f>
        <v>100000</v>
      </c>
      <c r="K120" s="152"/>
      <c r="L120" s="150">
        <f t="shared" si="10"/>
        <v>861800</v>
      </c>
    </row>
    <row r="121" spans="1:12" ht="18.75" customHeight="1" x14ac:dyDescent="0.25">
      <c r="A121" s="232"/>
      <c r="B121" s="58" t="s">
        <v>12</v>
      </c>
      <c r="C121" s="234"/>
      <c r="D121" s="236"/>
      <c r="E121" s="193"/>
      <c r="F121" s="59">
        <f>861800</f>
        <v>861800</v>
      </c>
      <c r="G121" s="76"/>
      <c r="H121" s="61">
        <f>471600</f>
        <v>471600</v>
      </c>
      <c r="I121" s="61">
        <f>290200</f>
        <v>290200</v>
      </c>
      <c r="J121" s="61">
        <f>100000</f>
        <v>100000</v>
      </c>
      <c r="K121" s="62"/>
      <c r="L121" s="63">
        <f t="shared" si="10"/>
        <v>861800</v>
      </c>
    </row>
    <row r="122" spans="1:12" ht="18.75" customHeight="1" thickBot="1" x14ac:dyDescent="0.3">
      <c r="A122" s="233"/>
      <c r="B122" s="64" t="s">
        <v>88</v>
      </c>
      <c r="C122" s="235"/>
      <c r="D122" s="237"/>
      <c r="E122" s="194"/>
      <c r="F122" s="65"/>
      <c r="G122" s="74"/>
      <c r="H122" s="67"/>
      <c r="I122" s="67"/>
      <c r="J122" s="67"/>
      <c r="K122" s="68"/>
      <c r="L122" s="77">
        <f t="shared" si="10"/>
        <v>0</v>
      </c>
    </row>
    <row r="123" spans="1:12" ht="39.75" customHeight="1" x14ac:dyDescent="0.25">
      <c r="A123" s="225">
        <v>24</v>
      </c>
      <c r="B123" s="69" t="s">
        <v>106</v>
      </c>
      <c r="C123" s="226" t="s">
        <v>107</v>
      </c>
      <c r="D123" s="229" t="s">
        <v>102</v>
      </c>
      <c r="E123" s="191" t="s">
        <v>28</v>
      </c>
      <c r="F123" s="151">
        <f>599300</f>
        <v>599300</v>
      </c>
      <c r="G123" s="117"/>
      <c r="H123" s="149">
        <f>117100</f>
        <v>117100</v>
      </c>
      <c r="I123" s="149">
        <f>226700</f>
        <v>226700</v>
      </c>
      <c r="J123" s="149">
        <f>127400</f>
        <v>127400</v>
      </c>
      <c r="K123" s="152">
        <f>128100</f>
        <v>128100</v>
      </c>
      <c r="L123" s="150">
        <f t="shared" si="10"/>
        <v>599300</v>
      </c>
    </row>
    <row r="124" spans="1:12" ht="18.75" customHeight="1" x14ac:dyDescent="0.25">
      <c r="A124" s="232"/>
      <c r="B124" s="58" t="s">
        <v>12</v>
      </c>
      <c r="C124" s="238"/>
      <c r="D124" s="240"/>
      <c r="E124" s="242"/>
      <c r="F124" s="59">
        <f>599300</f>
        <v>599300</v>
      </c>
      <c r="G124" s="76"/>
      <c r="H124" s="61">
        <f>117100</f>
        <v>117100</v>
      </c>
      <c r="I124" s="61">
        <f>226700</f>
        <v>226700</v>
      </c>
      <c r="J124" s="61">
        <f>127400</f>
        <v>127400</v>
      </c>
      <c r="K124" s="62">
        <f>128100</f>
        <v>128100</v>
      </c>
      <c r="L124" s="63">
        <f t="shared" si="10"/>
        <v>599300</v>
      </c>
    </row>
    <row r="125" spans="1:12" ht="18.75" customHeight="1" thickBot="1" x14ac:dyDescent="0.3">
      <c r="A125" s="233"/>
      <c r="B125" s="64" t="s">
        <v>88</v>
      </c>
      <c r="C125" s="239"/>
      <c r="D125" s="241"/>
      <c r="E125" s="243"/>
      <c r="F125" s="65"/>
      <c r="G125" s="74"/>
      <c r="H125" s="67"/>
      <c r="I125" s="67"/>
      <c r="J125" s="67"/>
      <c r="K125" s="68"/>
      <c r="L125" s="77">
        <f t="shared" si="10"/>
        <v>0</v>
      </c>
    </row>
    <row r="126" spans="1:12" ht="40.5" customHeight="1" x14ac:dyDescent="0.25">
      <c r="A126" s="225">
        <v>25</v>
      </c>
      <c r="B126" s="69" t="s">
        <v>108</v>
      </c>
      <c r="C126" s="226" t="s">
        <v>109</v>
      </c>
      <c r="D126" s="229" t="s">
        <v>102</v>
      </c>
      <c r="E126" s="191" t="s">
        <v>110</v>
      </c>
      <c r="F126" s="151">
        <f>1032500</f>
        <v>1032500</v>
      </c>
      <c r="G126" s="117"/>
      <c r="H126" s="149"/>
      <c r="I126" s="149"/>
      <c r="J126" s="149">
        <v>443500</v>
      </c>
      <c r="K126" s="152">
        <v>589000</v>
      </c>
      <c r="L126" s="150">
        <f t="shared" si="10"/>
        <v>1032500</v>
      </c>
    </row>
    <row r="127" spans="1:12" ht="18.75" customHeight="1" x14ac:dyDescent="0.25">
      <c r="A127" s="207"/>
      <c r="B127" s="58" t="s">
        <v>12</v>
      </c>
      <c r="C127" s="227"/>
      <c r="D127" s="230"/>
      <c r="E127" s="221"/>
      <c r="F127" s="59">
        <f>1032500</f>
        <v>1032500</v>
      </c>
      <c r="G127" s="76"/>
      <c r="H127" s="61"/>
      <c r="I127" s="61"/>
      <c r="J127" s="61">
        <v>443500</v>
      </c>
      <c r="K127" s="62">
        <v>589000</v>
      </c>
      <c r="L127" s="63">
        <f t="shared" si="10"/>
        <v>1032500</v>
      </c>
    </row>
    <row r="128" spans="1:12" ht="18.75" customHeight="1" thickBot="1" x14ac:dyDescent="0.3">
      <c r="A128" s="207"/>
      <c r="B128" s="104" t="s">
        <v>88</v>
      </c>
      <c r="C128" s="228"/>
      <c r="D128" s="231"/>
      <c r="E128" s="221"/>
      <c r="F128" s="154"/>
      <c r="G128" s="105"/>
      <c r="H128" s="156"/>
      <c r="I128" s="156"/>
      <c r="J128" s="156"/>
      <c r="K128" s="155"/>
      <c r="L128" s="107">
        <f t="shared" si="10"/>
        <v>0</v>
      </c>
    </row>
    <row r="129" spans="1:12" ht="41.25" customHeight="1" x14ac:dyDescent="0.25">
      <c r="A129" s="225">
        <v>26</v>
      </c>
      <c r="B129" s="69" t="s">
        <v>111</v>
      </c>
      <c r="C129" s="226" t="s">
        <v>71</v>
      </c>
      <c r="D129" s="229" t="s">
        <v>102</v>
      </c>
      <c r="E129" s="191" t="s">
        <v>110</v>
      </c>
      <c r="F129" s="151">
        <f>430000</f>
        <v>430000</v>
      </c>
      <c r="G129" s="117">
        <f>180000</f>
        <v>180000</v>
      </c>
      <c r="H129" s="149">
        <f>250000</f>
        <v>250000</v>
      </c>
      <c r="I129" s="149"/>
      <c r="J129" s="149"/>
      <c r="K129" s="152"/>
      <c r="L129" s="150">
        <f t="shared" si="10"/>
        <v>430000</v>
      </c>
    </row>
    <row r="130" spans="1:12" ht="18.75" customHeight="1" x14ac:dyDescent="0.25">
      <c r="A130" s="207"/>
      <c r="B130" s="58" t="s">
        <v>12</v>
      </c>
      <c r="C130" s="227"/>
      <c r="D130" s="230"/>
      <c r="E130" s="221"/>
      <c r="F130" s="59">
        <f>430000</f>
        <v>430000</v>
      </c>
      <c r="G130" s="76">
        <f>180000</f>
        <v>180000</v>
      </c>
      <c r="H130" s="61">
        <f>250000</f>
        <v>250000</v>
      </c>
      <c r="I130" s="61"/>
      <c r="J130" s="61"/>
      <c r="K130" s="62"/>
      <c r="L130" s="63">
        <f t="shared" si="10"/>
        <v>430000</v>
      </c>
    </row>
    <row r="131" spans="1:12" ht="18.75" customHeight="1" x14ac:dyDescent="0.25">
      <c r="A131" s="207"/>
      <c r="B131" s="104" t="s">
        <v>88</v>
      </c>
      <c r="C131" s="228"/>
      <c r="D131" s="231"/>
      <c r="E131" s="221"/>
      <c r="F131" s="154"/>
      <c r="G131" s="105"/>
      <c r="H131" s="156"/>
      <c r="I131" s="156"/>
      <c r="J131" s="156"/>
      <c r="K131" s="155"/>
      <c r="L131" s="107">
        <f t="shared" si="10"/>
        <v>0</v>
      </c>
    </row>
    <row r="132" spans="1:12" ht="40.5" customHeight="1" x14ac:dyDescent="0.25">
      <c r="A132" s="216">
        <v>27</v>
      </c>
      <c r="B132" s="145" t="s">
        <v>112</v>
      </c>
      <c r="C132" s="208" t="s">
        <v>68</v>
      </c>
      <c r="D132" s="219" t="s">
        <v>113</v>
      </c>
      <c r="E132" s="220" t="s">
        <v>114</v>
      </c>
      <c r="F132" s="223">
        <f>880000</f>
        <v>880000</v>
      </c>
      <c r="G132" s="224">
        <f>110000</f>
        <v>110000</v>
      </c>
      <c r="H132" s="163"/>
      <c r="I132" s="163">
        <v>770000</v>
      </c>
      <c r="J132" s="163"/>
      <c r="K132" s="165"/>
      <c r="L132" s="167">
        <f t="shared" si="10"/>
        <v>880000</v>
      </c>
    </row>
    <row r="133" spans="1:12" ht="27" customHeight="1" x14ac:dyDescent="0.25">
      <c r="A133" s="181"/>
      <c r="B133" s="70" t="s">
        <v>115</v>
      </c>
      <c r="C133" s="184"/>
      <c r="D133" s="188"/>
      <c r="E133" s="192"/>
      <c r="F133" s="196"/>
      <c r="G133" s="198"/>
      <c r="H133" s="164"/>
      <c r="I133" s="164"/>
      <c r="J133" s="164"/>
      <c r="K133" s="166"/>
      <c r="L133" s="168"/>
    </row>
    <row r="134" spans="1:12" ht="18.75" customHeight="1" x14ac:dyDescent="0.25">
      <c r="A134" s="181"/>
      <c r="B134" s="58" t="s">
        <v>12</v>
      </c>
      <c r="C134" s="217"/>
      <c r="D134" s="189"/>
      <c r="E134" s="221"/>
      <c r="F134" s="59"/>
      <c r="G134" s="76"/>
      <c r="H134" s="62"/>
      <c r="I134" s="61"/>
      <c r="J134" s="82"/>
      <c r="K134" s="62"/>
      <c r="L134" s="63">
        <f>G134+H134+I134+J134+K134</f>
        <v>0</v>
      </c>
    </row>
    <row r="135" spans="1:12" ht="18.75" customHeight="1" thickBot="1" x14ac:dyDescent="0.3">
      <c r="A135" s="182"/>
      <c r="B135" s="64" t="s">
        <v>88</v>
      </c>
      <c r="C135" s="218"/>
      <c r="D135" s="190"/>
      <c r="E135" s="222"/>
      <c r="F135" s="65">
        <f>880000</f>
        <v>880000</v>
      </c>
      <c r="G135" s="74">
        <f>110000</f>
        <v>110000</v>
      </c>
      <c r="H135" s="68"/>
      <c r="I135" s="67">
        <v>770000</v>
      </c>
      <c r="J135" s="98"/>
      <c r="K135" s="68"/>
      <c r="L135" s="77">
        <f>G135+H135+I135+J135+K135</f>
        <v>880000</v>
      </c>
    </row>
    <row r="136" spans="1:12" ht="28.5" customHeight="1" x14ac:dyDescent="0.25">
      <c r="A136" s="207">
        <v>28</v>
      </c>
      <c r="B136" s="147" t="s">
        <v>116</v>
      </c>
      <c r="C136" s="184" t="s">
        <v>46</v>
      </c>
      <c r="D136" s="201" t="s">
        <v>53</v>
      </c>
      <c r="E136" s="211" t="s">
        <v>117</v>
      </c>
      <c r="F136" s="214">
        <f>518600-169221</f>
        <v>349379</v>
      </c>
      <c r="G136" s="215">
        <f>330560</f>
        <v>330560</v>
      </c>
      <c r="H136" s="179"/>
      <c r="I136" s="179"/>
      <c r="J136" s="179"/>
      <c r="K136" s="177"/>
      <c r="L136" s="178">
        <f>G136+H136+I136+J136+K136</f>
        <v>330560</v>
      </c>
    </row>
    <row r="137" spans="1:12" ht="23.25" customHeight="1" x14ac:dyDescent="0.25">
      <c r="A137" s="207"/>
      <c r="B137" s="71" t="s">
        <v>118</v>
      </c>
      <c r="C137" s="208"/>
      <c r="D137" s="201"/>
      <c r="E137" s="211"/>
      <c r="F137" s="196"/>
      <c r="G137" s="198"/>
      <c r="H137" s="164"/>
      <c r="I137" s="164"/>
      <c r="J137" s="164"/>
      <c r="K137" s="166"/>
      <c r="L137" s="168"/>
    </row>
    <row r="138" spans="1:12" ht="18.75" customHeight="1" x14ac:dyDescent="0.25">
      <c r="A138" s="207"/>
      <c r="B138" s="71" t="s">
        <v>12</v>
      </c>
      <c r="C138" s="208"/>
      <c r="D138" s="201"/>
      <c r="E138" s="212"/>
      <c r="F138" s="59"/>
      <c r="G138" s="76"/>
      <c r="H138" s="62"/>
      <c r="I138" s="61"/>
      <c r="J138" s="118"/>
      <c r="K138" s="62"/>
      <c r="L138" s="63">
        <f>G138+H138+I138+J138+K138</f>
        <v>0</v>
      </c>
    </row>
    <row r="139" spans="1:12" ht="18.75" customHeight="1" thickBot="1" x14ac:dyDescent="0.3">
      <c r="A139" s="207"/>
      <c r="B139" s="73" t="s">
        <v>88</v>
      </c>
      <c r="C139" s="209"/>
      <c r="D139" s="210"/>
      <c r="E139" s="213"/>
      <c r="F139" s="119">
        <f>518600-169221</f>
        <v>349379</v>
      </c>
      <c r="G139" s="120">
        <f>330560</f>
        <v>330560</v>
      </c>
      <c r="H139" s="122"/>
      <c r="I139" s="67"/>
      <c r="J139" s="121"/>
      <c r="K139" s="122"/>
      <c r="L139" s="77">
        <f>G139+H139+I139+J139+K139</f>
        <v>330560</v>
      </c>
    </row>
    <row r="140" spans="1:12" ht="35.25" customHeight="1" x14ac:dyDescent="0.25">
      <c r="A140" s="180">
        <v>29</v>
      </c>
      <c r="B140" s="123" t="s">
        <v>119</v>
      </c>
      <c r="C140" s="199" t="s">
        <v>120</v>
      </c>
      <c r="D140" s="201" t="s">
        <v>53</v>
      </c>
      <c r="E140" s="203" t="s">
        <v>121</v>
      </c>
      <c r="F140" s="195">
        <f>3490207</f>
        <v>3490207</v>
      </c>
      <c r="G140" s="205">
        <v>2338785</v>
      </c>
      <c r="H140" s="169">
        <v>1072750</v>
      </c>
      <c r="I140" s="169"/>
      <c r="J140" s="169"/>
      <c r="K140" s="171"/>
      <c r="L140" s="173">
        <f>G140+H140+I140+J140+K140</f>
        <v>3411535</v>
      </c>
    </row>
    <row r="141" spans="1:12" ht="26.25" customHeight="1" x14ac:dyDescent="0.25">
      <c r="A141" s="181"/>
      <c r="B141" s="123" t="s">
        <v>115</v>
      </c>
      <c r="C141" s="199"/>
      <c r="D141" s="201"/>
      <c r="E141" s="203"/>
      <c r="F141" s="196"/>
      <c r="G141" s="206"/>
      <c r="H141" s="164"/>
      <c r="I141" s="164"/>
      <c r="J141" s="164"/>
      <c r="K141" s="166"/>
      <c r="L141" s="168"/>
    </row>
    <row r="142" spans="1:12" ht="18.75" customHeight="1" x14ac:dyDescent="0.25">
      <c r="A142" s="181"/>
      <c r="B142" s="124" t="s">
        <v>12</v>
      </c>
      <c r="C142" s="200"/>
      <c r="D142" s="202"/>
      <c r="E142" s="204"/>
      <c r="F142" s="59"/>
      <c r="G142" s="60"/>
      <c r="H142" s="61"/>
      <c r="I142" s="61"/>
      <c r="J142" s="82"/>
      <c r="K142" s="62"/>
      <c r="L142" s="63">
        <f>G142+H142+I142+J142+K142</f>
        <v>0</v>
      </c>
    </row>
    <row r="143" spans="1:12" ht="18.75" customHeight="1" thickBot="1" x14ac:dyDescent="0.3">
      <c r="A143" s="182"/>
      <c r="B143" s="125" t="s">
        <v>13</v>
      </c>
      <c r="C143" s="200"/>
      <c r="D143" s="202"/>
      <c r="E143" s="204"/>
      <c r="F143" s="154">
        <v>3490207</v>
      </c>
      <c r="G143" s="126">
        <v>2338785</v>
      </c>
      <c r="H143" s="156">
        <v>1072750</v>
      </c>
      <c r="I143" s="156"/>
      <c r="J143" s="106"/>
      <c r="K143" s="155"/>
      <c r="L143" s="107">
        <f>G143+H143+I143+J143+K143</f>
        <v>3411535</v>
      </c>
    </row>
    <row r="144" spans="1:12" ht="40.5" customHeight="1" x14ac:dyDescent="0.25">
      <c r="A144" s="180">
        <v>30</v>
      </c>
      <c r="B144" s="116" t="s">
        <v>122</v>
      </c>
      <c r="C144" s="183" t="s">
        <v>62</v>
      </c>
      <c r="D144" s="187" t="s">
        <v>123</v>
      </c>
      <c r="E144" s="191" t="s">
        <v>121</v>
      </c>
      <c r="F144" s="195">
        <f>2115000</f>
        <v>2115000</v>
      </c>
      <c r="G144" s="197">
        <f>168000</f>
        <v>168000</v>
      </c>
      <c r="H144" s="171">
        <f>1947000</f>
        <v>1947000</v>
      </c>
      <c r="I144" s="169"/>
      <c r="J144" s="169"/>
      <c r="K144" s="171"/>
      <c r="L144" s="175">
        <f>G144+H144+I144+J144+K144</f>
        <v>2115000</v>
      </c>
    </row>
    <row r="145" spans="1:12" ht="26.25" customHeight="1" x14ac:dyDescent="0.25">
      <c r="A145" s="181"/>
      <c r="B145" s="57" t="s">
        <v>115</v>
      </c>
      <c r="C145" s="184"/>
      <c r="D145" s="188"/>
      <c r="E145" s="192"/>
      <c r="F145" s="196"/>
      <c r="G145" s="198"/>
      <c r="H145" s="166"/>
      <c r="I145" s="164"/>
      <c r="J145" s="164"/>
      <c r="K145" s="166"/>
      <c r="L145" s="176"/>
    </row>
    <row r="146" spans="1:12" ht="18.75" customHeight="1" x14ac:dyDescent="0.25">
      <c r="A146" s="181"/>
      <c r="B146" s="58" t="s">
        <v>12</v>
      </c>
      <c r="C146" s="185"/>
      <c r="D146" s="189"/>
      <c r="E146" s="193"/>
      <c r="F146" s="59"/>
      <c r="G146" s="76"/>
      <c r="H146" s="62"/>
      <c r="I146" s="61"/>
      <c r="J146" s="61"/>
      <c r="K146" s="62"/>
      <c r="L146" s="63">
        <f>G146+H146+I146+J146+K146</f>
        <v>0</v>
      </c>
    </row>
    <row r="147" spans="1:12" ht="18.75" customHeight="1" thickBot="1" x14ac:dyDescent="0.3">
      <c r="A147" s="182"/>
      <c r="B147" s="64" t="s">
        <v>13</v>
      </c>
      <c r="C147" s="186"/>
      <c r="D147" s="190"/>
      <c r="E147" s="194"/>
      <c r="F147" s="65">
        <f>2115000</f>
        <v>2115000</v>
      </c>
      <c r="G147" s="74">
        <f>168000</f>
        <v>168000</v>
      </c>
      <c r="H147" s="68">
        <f>1947000</f>
        <v>1947000</v>
      </c>
      <c r="I147" s="67"/>
      <c r="J147" s="67"/>
      <c r="K147" s="68"/>
      <c r="L147" s="77">
        <f>G147+H147+I147+J147+K147</f>
        <v>2115000</v>
      </c>
    </row>
  </sheetData>
  <mergeCells count="316">
    <mergeCell ref="L7:L8"/>
    <mergeCell ref="A5:K5"/>
    <mergeCell ref="A6:K6"/>
    <mergeCell ref="A7:A8"/>
    <mergeCell ref="B7:B8"/>
    <mergeCell ref="C7:C8"/>
    <mergeCell ref="D7:D8"/>
    <mergeCell ref="E7:E8"/>
    <mergeCell ref="F7:F8"/>
    <mergeCell ref="G7:K7"/>
    <mergeCell ref="B16:E16"/>
    <mergeCell ref="B17:E17"/>
    <mergeCell ref="B18:E18"/>
    <mergeCell ref="A19:A22"/>
    <mergeCell ref="C19:C22"/>
    <mergeCell ref="D19:D22"/>
    <mergeCell ref="E19:E22"/>
    <mergeCell ref="B10:E10"/>
    <mergeCell ref="B11:E11"/>
    <mergeCell ref="B12:E12"/>
    <mergeCell ref="B13:E13"/>
    <mergeCell ref="B14:E14"/>
    <mergeCell ref="B15:E15"/>
    <mergeCell ref="G23:G24"/>
    <mergeCell ref="H23:H24"/>
    <mergeCell ref="J27:J28"/>
    <mergeCell ref="H19:H20"/>
    <mergeCell ref="I19:I20"/>
    <mergeCell ref="J19:J20"/>
    <mergeCell ref="K19:K20"/>
    <mergeCell ref="L19:L20"/>
    <mergeCell ref="A23:A26"/>
    <mergeCell ref="C23:C26"/>
    <mergeCell ref="D23:D26"/>
    <mergeCell ref="E23:E26"/>
    <mergeCell ref="F23:F24"/>
    <mergeCell ref="F19:F20"/>
    <mergeCell ref="G19:G20"/>
    <mergeCell ref="I23:I24"/>
    <mergeCell ref="J23:J24"/>
    <mergeCell ref="K23:K24"/>
    <mergeCell ref="L23:L24"/>
    <mergeCell ref="E35:E42"/>
    <mergeCell ref="F35:F36"/>
    <mergeCell ref="G35:G36"/>
    <mergeCell ref="H31:H32"/>
    <mergeCell ref="I31:I32"/>
    <mergeCell ref="J31:J32"/>
    <mergeCell ref="K27:K28"/>
    <mergeCell ref="L27:L28"/>
    <mergeCell ref="A31:A34"/>
    <mergeCell ref="C31:C34"/>
    <mergeCell ref="D31:D34"/>
    <mergeCell ref="E31:E34"/>
    <mergeCell ref="F31:F32"/>
    <mergeCell ref="G31:G32"/>
    <mergeCell ref="H27:H28"/>
    <mergeCell ref="I27:I28"/>
    <mergeCell ref="K31:K32"/>
    <mergeCell ref="L31:L32"/>
    <mergeCell ref="A27:A30"/>
    <mergeCell ref="C27:C30"/>
    <mergeCell ref="D27:D30"/>
    <mergeCell ref="E27:E30"/>
    <mergeCell ref="F27:F28"/>
    <mergeCell ref="G27:G28"/>
    <mergeCell ref="H43:H44"/>
    <mergeCell ref="I43:I44"/>
    <mergeCell ref="J43:J44"/>
    <mergeCell ref="J51:J52"/>
    <mergeCell ref="L35:L36"/>
    <mergeCell ref="D39:D40"/>
    <mergeCell ref="D41:D42"/>
    <mergeCell ref="A43:A50"/>
    <mergeCell ref="C43:C50"/>
    <mergeCell ref="D43:D46"/>
    <mergeCell ref="E43:E50"/>
    <mergeCell ref="F43:F44"/>
    <mergeCell ref="G43:G44"/>
    <mergeCell ref="H35:H36"/>
    <mergeCell ref="I35:I36"/>
    <mergeCell ref="J35:J36"/>
    <mergeCell ref="K35:K36"/>
    <mergeCell ref="K43:K44"/>
    <mergeCell ref="L43:L44"/>
    <mergeCell ref="D47:D48"/>
    <mergeCell ref="D49:D50"/>
    <mergeCell ref="A35:A42"/>
    <mergeCell ref="C35:C42"/>
    <mergeCell ref="D35:D38"/>
    <mergeCell ref="G59:G60"/>
    <mergeCell ref="H59:H60"/>
    <mergeCell ref="J63:J64"/>
    <mergeCell ref="K51:K52"/>
    <mergeCell ref="L51:L52"/>
    <mergeCell ref="D55:D56"/>
    <mergeCell ref="D57:D58"/>
    <mergeCell ref="A59:A62"/>
    <mergeCell ref="C59:C62"/>
    <mergeCell ref="D59:D62"/>
    <mergeCell ref="E59:E62"/>
    <mergeCell ref="F59:F60"/>
    <mergeCell ref="H51:H52"/>
    <mergeCell ref="I51:I52"/>
    <mergeCell ref="I59:I60"/>
    <mergeCell ref="J59:J60"/>
    <mergeCell ref="K59:K60"/>
    <mergeCell ref="L59:L60"/>
    <mergeCell ref="A51:A58"/>
    <mergeCell ref="C51:C58"/>
    <mergeCell ref="D51:D54"/>
    <mergeCell ref="E51:E58"/>
    <mergeCell ref="F51:F52"/>
    <mergeCell ref="G51:G52"/>
    <mergeCell ref="H67:H68"/>
    <mergeCell ref="I67:I68"/>
    <mergeCell ref="J67:J68"/>
    <mergeCell ref="K63:K64"/>
    <mergeCell ref="L63:L64"/>
    <mergeCell ref="A67:A70"/>
    <mergeCell ref="C67:C70"/>
    <mergeCell ref="D67:D70"/>
    <mergeCell ref="E67:E70"/>
    <mergeCell ref="F67:F68"/>
    <mergeCell ref="G67:G68"/>
    <mergeCell ref="H63:H64"/>
    <mergeCell ref="I63:I64"/>
    <mergeCell ref="K67:K68"/>
    <mergeCell ref="L67:L68"/>
    <mergeCell ref="A63:A66"/>
    <mergeCell ref="C63:C66"/>
    <mergeCell ref="D63:D66"/>
    <mergeCell ref="E63:E66"/>
    <mergeCell ref="F63:F64"/>
    <mergeCell ref="G63:G64"/>
    <mergeCell ref="H75:H76"/>
    <mergeCell ref="I75:I76"/>
    <mergeCell ref="J75:J76"/>
    <mergeCell ref="K75:K76"/>
    <mergeCell ref="L75:L76"/>
    <mergeCell ref="L71:L72"/>
    <mergeCell ref="A75:A78"/>
    <mergeCell ref="C75:C78"/>
    <mergeCell ref="D75:D78"/>
    <mergeCell ref="E75:E78"/>
    <mergeCell ref="F75:F76"/>
    <mergeCell ref="G75:G76"/>
    <mergeCell ref="H71:H72"/>
    <mergeCell ref="I71:I72"/>
    <mergeCell ref="J71:J72"/>
    <mergeCell ref="K71:K72"/>
    <mergeCell ref="A71:A74"/>
    <mergeCell ref="C71:C74"/>
    <mergeCell ref="D71:D74"/>
    <mergeCell ref="E71:E74"/>
    <mergeCell ref="F71:F72"/>
    <mergeCell ref="G71:G72"/>
    <mergeCell ref="H83:H84"/>
    <mergeCell ref="I83:I84"/>
    <mergeCell ref="J83:J84"/>
    <mergeCell ref="J79:J80"/>
    <mergeCell ref="K79:K80"/>
    <mergeCell ref="L79:L80"/>
    <mergeCell ref="A83:A86"/>
    <mergeCell ref="C83:C86"/>
    <mergeCell ref="D83:D86"/>
    <mergeCell ref="E83:E86"/>
    <mergeCell ref="F83:F84"/>
    <mergeCell ref="G83:G84"/>
    <mergeCell ref="H79:H80"/>
    <mergeCell ref="I79:I80"/>
    <mergeCell ref="G79:G80"/>
    <mergeCell ref="A79:A82"/>
    <mergeCell ref="C79:C82"/>
    <mergeCell ref="D79:D82"/>
    <mergeCell ref="E79:E82"/>
    <mergeCell ref="F79:F80"/>
    <mergeCell ref="K83:K84"/>
    <mergeCell ref="L83:L84"/>
    <mergeCell ref="L87:L88"/>
    <mergeCell ref="B91:E91"/>
    <mergeCell ref="B92:E92"/>
    <mergeCell ref="B93:E93"/>
    <mergeCell ref="A94:A96"/>
    <mergeCell ref="C94:C96"/>
    <mergeCell ref="D94:D96"/>
    <mergeCell ref="E94:E96"/>
    <mergeCell ref="H87:H88"/>
    <mergeCell ref="I87:I88"/>
    <mergeCell ref="J87:J88"/>
    <mergeCell ref="K87:K88"/>
    <mergeCell ref="A87:A90"/>
    <mergeCell ref="C87:C90"/>
    <mergeCell ref="D87:D90"/>
    <mergeCell ref="E87:E90"/>
    <mergeCell ref="F87:F88"/>
    <mergeCell ref="G87:G88"/>
    <mergeCell ref="H101:H102"/>
    <mergeCell ref="I101:I102"/>
    <mergeCell ref="J101:J102"/>
    <mergeCell ref="J97:J98"/>
    <mergeCell ref="K97:K98"/>
    <mergeCell ref="L97:L98"/>
    <mergeCell ref="A101:A104"/>
    <mergeCell ref="C101:C104"/>
    <mergeCell ref="D101:D104"/>
    <mergeCell ref="E101:E104"/>
    <mergeCell ref="F101:F102"/>
    <mergeCell ref="G101:G102"/>
    <mergeCell ref="H97:H98"/>
    <mergeCell ref="I97:I98"/>
    <mergeCell ref="A97:A100"/>
    <mergeCell ref="C97:C100"/>
    <mergeCell ref="D97:D100"/>
    <mergeCell ref="E97:E100"/>
    <mergeCell ref="F97:F98"/>
    <mergeCell ref="K101:K102"/>
    <mergeCell ref="L101:L102"/>
    <mergeCell ref="G97:G98"/>
    <mergeCell ref="L105:L106"/>
    <mergeCell ref="A109:A112"/>
    <mergeCell ref="C109:C112"/>
    <mergeCell ref="D109:D112"/>
    <mergeCell ref="E109:E112"/>
    <mergeCell ref="F109:F110"/>
    <mergeCell ref="G109:G110"/>
    <mergeCell ref="H105:H106"/>
    <mergeCell ref="I105:I106"/>
    <mergeCell ref="J105:J106"/>
    <mergeCell ref="K105:K106"/>
    <mergeCell ref="A105:A108"/>
    <mergeCell ref="C105:C108"/>
    <mergeCell ref="D105:D108"/>
    <mergeCell ref="E105:E108"/>
    <mergeCell ref="F105:F106"/>
    <mergeCell ref="G105:G106"/>
    <mergeCell ref="A117:A119"/>
    <mergeCell ref="C117:C119"/>
    <mergeCell ref="D117:D119"/>
    <mergeCell ref="E117:E119"/>
    <mergeCell ref="H113:H114"/>
    <mergeCell ref="I113:I114"/>
    <mergeCell ref="A113:A116"/>
    <mergeCell ref="C113:C116"/>
    <mergeCell ref="D113:D116"/>
    <mergeCell ref="E113:E116"/>
    <mergeCell ref="F113:F114"/>
    <mergeCell ref="G113:G114"/>
    <mergeCell ref="A126:A128"/>
    <mergeCell ref="C126:C128"/>
    <mergeCell ref="D126:D128"/>
    <mergeCell ref="E126:E128"/>
    <mergeCell ref="A129:A131"/>
    <mergeCell ref="C129:C131"/>
    <mergeCell ref="D129:D131"/>
    <mergeCell ref="E129:E131"/>
    <mergeCell ref="A120:A122"/>
    <mergeCell ref="C120:C122"/>
    <mergeCell ref="D120:D122"/>
    <mergeCell ref="E120:E122"/>
    <mergeCell ref="A123:A125"/>
    <mergeCell ref="C123:C125"/>
    <mergeCell ref="D123:D125"/>
    <mergeCell ref="E123:E125"/>
    <mergeCell ref="A136:A139"/>
    <mergeCell ref="C136:C139"/>
    <mergeCell ref="D136:D139"/>
    <mergeCell ref="E136:E139"/>
    <mergeCell ref="F136:F137"/>
    <mergeCell ref="G136:G137"/>
    <mergeCell ref="H132:H133"/>
    <mergeCell ref="I132:I133"/>
    <mergeCell ref="A132:A135"/>
    <mergeCell ref="C132:C135"/>
    <mergeCell ref="D132:D135"/>
    <mergeCell ref="E132:E135"/>
    <mergeCell ref="F132:F133"/>
    <mergeCell ref="G132:G133"/>
    <mergeCell ref="A144:A147"/>
    <mergeCell ref="C144:C147"/>
    <mergeCell ref="D144:D147"/>
    <mergeCell ref="E144:E147"/>
    <mergeCell ref="F144:F145"/>
    <mergeCell ref="G144:G145"/>
    <mergeCell ref="H140:H141"/>
    <mergeCell ref="I140:I141"/>
    <mergeCell ref="J140:J141"/>
    <mergeCell ref="A140:A143"/>
    <mergeCell ref="C140:C143"/>
    <mergeCell ref="D140:D143"/>
    <mergeCell ref="E140:E143"/>
    <mergeCell ref="F140:F141"/>
    <mergeCell ref="G140:G141"/>
    <mergeCell ref="H144:H145"/>
    <mergeCell ref="I144:I145"/>
    <mergeCell ref="J144:J145"/>
    <mergeCell ref="K144:K145"/>
    <mergeCell ref="L144:L145"/>
    <mergeCell ref="L140:L141"/>
    <mergeCell ref="K140:K141"/>
    <mergeCell ref="K136:K137"/>
    <mergeCell ref="L136:L137"/>
    <mergeCell ref="H136:H137"/>
    <mergeCell ref="I136:I137"/>
    <mergeCell ref="J136:J137"/>
    <mergeCell ref="J132:J133"/>
    <mergeCell ref="K132:K133"/>
    <mergeCell ref="L132:L133"/>
    <mergeCell ref="J113:J114"/>
    <mergeCell ref="K113:K114"/>
    <mergeCell ref="L113:L114"/>
    <mergeCell ref="H109:H110"/>
    <mergeCell ref="I109:I110"/>
    <mergeCell ref="J109:J110"/>
    <mergeCell ref="K109:K110"/>
    <mergeCell ref="L109:L110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49" orientation="landscape" r:id="rId1"/>
  <headerFooter>
    <oddFooter>Strona &amp;P</oddFooter>
  </headerFooter>
  <rowBreaks count="12" manualBreakCount="12">
    <brk id="34" max="16383" man="1"/>
    <brk id="66" max="11" man="1"/>
    <brk id="90" max="11" man="1"/>
    <brk id="119" max="11" man="1"/>
    <brk id="147" max="11" man="1"/>
    <brk id="188" max="11" man="1"/>
    <brk id="201" max="11" man="1"/>
    <brk id="218" max="11" man="1"/>
    <brk id="232" max="11" man="1"/>
    <brk id="258" max="11" man="1"/>
    <brk id="273" max="11" man="1"/>
    <brk id="2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2012-06-01T06:27:01Z</dcterms:modified>
</cp:coreProperties>
</file>