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WPF" sheetId="1" r:id="rId1"/>
    <sheet name="Wlk. inform." sheetId="2" r:id="rId2"/>
    <sheet name="Arkusz3" sheetId="3" r:id="rId3"/>
  </sheets>
  <externalReferences>
    <externalReference r:id="rId4"/>
  </externalReferences>
  <definedNames>
    <definedName name="_xlnm.Print_Area" localSheetId="0">WPF!$A$1:$G$55</definedName>
    <definedName name="_xlnm.Print_Titles" localSheetId="0">WPF!$7:$7</definedName>
  </definedNames>
  <calcPr calcId="145621"/>
</workbook>
</file>

<file path=xl/calcChain.xml><?xml version="1.0" encoding="utf-8"?>
<calcChain xmlns="http://schemas.openxmlformats.org/spreadsheetml/2006/main">
  <c r="D23" i="1" l="1"/>
  <c r="F46" i="1" l="1"/>
  <c r="G46" i="1"/>
  <c r="E46" i="1"/>
  <c r="F45" i="1"/>
  <c r="G45" i="1"/>
  <c r="E45" i="1"/>
  <c r="D54" i="1"/>
  <c r="E54" i="1"/>
  <c r="F54" i="1"/>
  <c r="G54" i="1"/>
  <c r="C54" i="1"/>
  <c r="D53" i="1"/>
  <c r="E53" i="1"/>
  <c r="F53" i="1"/>
  <c r="G53" i="1"/>
  <c r="C53" i="1"/>
  <c r="D52" i="1"/>
  <c r="E52" i="1"/>
  <c r="F52" i="1"/>
  <c r="G52" i="1"/>
  <c r="C52" i="1"/>
  <c r="D28" i="1" l="1"/>
  <c r="D32" i="1" s="1"/>
  <c r="D22" i="1"/>
  <c r="E22" i="1"/>
  <c r="E23" i="1"/>
  <c r="G16" i="1"/>
  <c r="F16" i="1"/>
  <c r="E16" i="1"/>
  <c r="D16" i="1"/>
  <c r="G15" i="1"/>
  <c r="F15" i="1"/>
  <c r="E15" i="1"/>
  <c r="D15" i="1"/>
  <c r="G14" i="1"/>
  <c r="F14" i="1"/>
  <c r="E14" i="1"/>
  <c r="D14" i="1"/>
  <c r="G4" i="2" s="1"/>
  <c r="G9" i="1"/>
  <c r="F9" i="1"/>
  <c r="E9" i="1"/>
  <c r="D9" i="1"/>
  <c r="D8" i="1" s="1"/>
  <c r="G5" i="2" s="1"/>
  <c r="G7" i="2"/>
  <c r="H7" i="2"/>
  <c r="I7" i="2"/>
  <c r="J7" i="2"/>
  <c r="F7" i="2"/>
  <c r="G6" i="2"/>
  <c r="I6" i="2"/>
  <c r="J6" i="2"/>
  <c r="H4" i="2"/>
  <c r="I4" i="2"/>
  <c r="J4" i="2"/>
  <c r="F4" i="2"/>
  <c r="G3" i="2"/>
  <c r="H3" i="2"/>
  <c r="G2" i="2"/>
  <c r="H2" i="2"/>
  <c r="I2" i="2"/>
  <c r="J2" i="2"/>
  <c r="E17" i="2"/>
  <c r="E12" i="2"/>
  <c r="F13" i="2" s="1"/>
  <c r="D12" i="2"/>
  <c r="C12" i="2"/>
  <c r="E13" i="2" s="1"/>
  <c r="B12" i="2"/>
  <c r="E11" i="2"/>
  <c r="E14" i="2" s="1"/>
  <c r="D11" i="2"/>
  <c r="C11" i="2"/>
  <c r="B11" i="2"/>
  <c r="J8" i="2"/>
  <c r="I8" i="2"/>
  <c r="H8" i="2"/>
  <c r="G8" i="2"/>
  <c r="F8" i="2"/>
  <c r="G38" i="1"/>
  <c r="F38" i="1"/>
  <c r="E38" i="1"/>
  <c r="D38" i="1"/>
  <c r="E35" i="1"/>
  <c r="H6" i="2" s="1"/>
  <c r="C35" i="1"/>
  <c r="C34" i="1" s="1"/>
  <c r="G34" i="1"/>
  <c r="F34" i="1"/>
  <c r="E34" i="1"/>
  <c r="D34" i="1"/>
  <c r="G32" i="1"/>
  <c r="F32" i="1"/>
  <c r="E32" i="1"/>
  <c r="C28" i="1"/>
  <c r="C32" i="1" s="1"/>
  <c r="C23" i="1"/>
  <c r="G22" i="1"/>
  <c r="G25" i="1" s="1"/>
  <c r="F22" i="1"/>
  <c r="C22" i="1"/>
  <c r="C25" i="1" s="1"/>
  <c r="G20" i="1"/>
  <c r="F20" i="1"/>
  <c r="G19" i="1"/>
  <c r="F19" i="1"/>
  <c r="D19" i="1"/>
  <c r="C19" i="1"/>
  <c r="G18" i="1"/>
  <c r="F18" i="1"/>
  <c r="D18" i="1"/>
  <c r="G17" i="1"/>
  <c r="F17" i="1"/>
  <c r="D17" i="1"/>
  <c r="C16" i="1"/>
  <c r="C15" i="1"/>
  <c r="C14" i="1"/>
  <c r="G13" i="1"/>
  <c r="J3" i="2" s="1"/>
  <c r="J12" i="2" s="1"/>
  <c r="F13" i="1"/>
  <c r="I3" i="2" s="1"/>
  <c r="C13" i="1"/>
  <c r="F3" i="2" s="1"/>
  <c r="G12" i="1"/>
  <c r="F12" i="1"/>
  <c r="G11" i="1"/>
  <c r="F11" i="1"/>
  <c r="F8" i="1" s="1"/>
  <c r="I5" i="2" s="1"/>
  <c r="C11" i="1"/>
  <c r="D11" i="1" s="1"/>
  <c r="G10" i="1"/>
  <c r="F10" i="1"/>
  <c r="C9" i="1"/>
  <c r="C8" i="1" s="1"/>
  <c r="F5" i="2" s="1"/>
  <c r="G8" i="1"/>
  <c r="J5" i="2" s="1"/>
  <c r="E8" i="1"/>
  <c r="C48" i="1" l="1"/>
  <c r="F2" i="2"/>
  <c r="F25" i="1"/>
  <c r="F26" i="1" s="1"/>
  <c r="C38" i="1"/>
  <c r="F6" i="2"/>
  <c r="F11" i="2" s="1"/>
  <c r="F14" i="2" s="1"/>
  <c r="C49" i="1"/>
  <c r="J17" i="2"/>
  <c r="J11" i="2"/>
  <c r="C55" i="1"/>
  <c r="G55" i="1"/>
  <c r="F55" i="1"/>
  <c r="E55" i="1"/>
  <c r="D55" i="1"/>
  <c r="E33" i="1"/>
  <c r="E21" i="1" s="1"/>
  <c r="E39" i="1" s="1"/>
  <c r="E25" i="1"/>
  <c r="E26" i="1" s="1"/>
  <c r="H17" i="2"/>
  <c r="D25" i="1"/>
  <c r="D26" i="1" s="1"/>
  <c r="H5" i="2"/>
  <c r="H11" i="2" s="1"/>
  <c r="I11" i="2"/>
  <c r="G11" i="2"/>
  <c r="G14" i="2" s="1"/>
  <c r="F12" i="2"/>
  <c r="G13" i="2" s="1"/>
  <c r="I12" i="2"/>
  <c r="G12" i="2"/>
  <c r="I17" i="2"/>
  <c r="G17" i="2"/>
  <c r="F17" i="2"/>
  <c r="F33" i="1"/>
  <c r="F21" i="1" s="1"/>
  <c r="F39" i="1" s="1"/>
  <c r="D48" i="1"/>
  <c r="G26" i="1"/>
  <c r="C26" i="1"/>
  <c r="D33" i="1"/>
  <c r="D21" i="1" s="1"/>
  <c r="D39" i="1" s="1"/>
  <c r="D49" i="1"/>
  <c r="C33" i="1"/>
  <c r="C21" i="1" s="1"/>
  <c r="C39" i="1" s="1"/>
  <c r="G33" i="1"/>
  <c r="G21" i="1" s="1"/>
  <c r="G39" i="1" s="1"/>
  <c r="C29" i="1"/>
  <c r="H12" i="2" l="1"/>
  <c r="J13" i="2" s="1"/>
  <c r="J14" i="2" s="1"/>
  <c r="H13" i="2"/>
  <c r="H14" i="2" s="1"/>
  <c r="I13" i="2" l="1"/>
  <c r="I14" i="2" s="1"/>
</calcChain>
</file>

<file path=xl/comments1.xml><?xml version="1.0" encoding="utf-8"?>
<comments xmlns="http://schemas.openxmlformats.org/spreadsheetml/2006/main">
  <authors>
    <author>Autor</author>
  </authors>
  <commentList>
    <comment ref="E1" authorId="0">
      <text>
        <r>
          <rPr>
            <b/>
            <sz val="8"/>
            <color indexed="81"/>
            <rFont val="Tahoma"/>
            <charset val="1"/>
          </rPr>
          <t>Starostwo: III kw - Plan (po zmianach)</t>
        </r>
      </text>
    </comment>
  </commentList>
</comments>
</file>

<file path=xl/sharedStrings.xml><?xml version="1.0" encoding="utf-8"?>
<sst xmlns="http://schemas.openxmlformats.org/spreadsheetml/2006/main" count="114" uniqueCount="72">
  <si>
    <t>Załącznik nr 1</t>
  </si>
  <si>
    <t>Rady Powiatu Brzeskiego</t>
  </si>
  <si>
    <t>Wieloletnia prognoza finansowa na lata 2012 - 2016</t>
  </si>
  <si>
    <t>Lp.</t>
  </si>
  <si>
    <t>Wyszczególnienie</t>
  </si>
  <si>
    <t>Dochody ogółem, z tego:</t>
  </si>
  <si>
    <t>a</t>
  </si>
  <si>
    <t>dochody bieżące, w tym:</t>
  </si>
  <si>
    <t>b</t>
  </si>
  <si>
    <t>środki z UE</t>
  </si>
  <si>
    <t>c</t>
  </si>
  <si>
    <t>dochody majątkowe, w tym:</t>
  </si>
  <si>
    <t>d</t>
  </si>
  <si>
    <t>e</t>
  </si>
  <si>
    <t>ze sprzedaży majątku</t>
  </si>
  <si>
    <t>Wydatki bieżące, w tym:</t>
  </si>
  <si>
    <t xml:space="preserve">na wynagrodzenia i składki od nich naliczane </t>
  </si>
  <si>
    <t xml:space="preserve">związane z funkcjonowaniem organów JST     </t>
  </si>
  <si>
    <t>z tytułu gwarancji i poręczeń, w tym:</t>
  </si>
  <si>
    <t>gwarancje i poręczenia podlegające wyłączeniu z limitów spłaty zobowiązań z art. 243 ufp/169 sufp</t>
  </si>
  <si>
    <t xml:space="preserve">wydatki bieżące objęte limitem art. 226 ust. 4 ufp      </t>
  </si>
  <si>
    <t>f</t>
  </si>
  <si>
    <t>na projekty realizowane przy udziale środków, o których mowa w art. 5 ust. 1 pkt 2</t>
  </si>
  <si>
    <t>Środki do dyspozycji na wydatki majątkowe (12-13-14)</t>
  </si>
  <si>
    <t>Wydatki majątkowe, w tym:</t>
  </si>
  <si>
    <t>wydatki majątkowe objęte limitem art. 226 ust. 4 ufp</t>
  </si>
  <si>
    <t>Wydatki ogółem (2+4)</t>
  </si>
  <si>
    <t>Wynik budżetu (1-5)</t>
  </si>
  <si>
    <t>Sposób sfinansowania deficytu/przeznaczenia nadwyżki</t>
  </si>
  <si>
    <t>x</t>
  </si>
  <si>
    <t>Nadwyżka budżetowa z lat ubiegłych plus wolne środki, zgodnie z art. 217 ufp, w tym:</t>
  </si>
  <si>
    <t>Nadwyżka budżetowa z lat ubiegłych plus wolne środki, zgodnie z art. 217 ufp, angażowane na pokrycie deficytu budżetu roku bieżącego</t>
  </si>
  <si>
    <t xml:space="preserve">Inne przychody niezwiązane z zaciągnięciem długu </t>
  </si>
  <si>
    <t>Przychody (kredyty, pożyczki, emisje obligacji)</t>
  </si>
  <si>
    <t>Przychody budżetu</t>
  </si>
  <si>
    <t>Środki do dyspozycji (1-2+8+9+13b)</t>
  </si>
  <si>
    <t>Spłata i obsługa długu, z tego:</t>
  </si>
  <si>
    <t>rozchody z tytułu spłaty rat kapitałowych oraz wykup papierów wartościowych</t>
  </si>
  <si>
    <t>wydatki bieżące na obsługę długu</t>
  </si>
  <si>
    <t>Inne rozchody (bez spłaty długu np. udzielane pożyczki)</t>
  </si>
  <si>
    <t>Rozchodu budżetu (13a+14)</t>
  </si>
  <si>
    <t>Wynik finansowy budżetu (3-4+10)</t>
  </si>
  <si>
    <t xml:space="preserve">Kwota długu, w tym: </t>
  </si>
  <si>
    <t>łączna kwota wyłączeń z art. 243 ust. 3 pkt 1 ufp oraz z art. 170 ust. 3 sufp</t>
  </si>
  <si>
    <t>kwota wyłączeń z art. 243 ust. 3 pkt 1 ufp oraz z art. 170 ust. 3 sufp przypadająca na dany rok budżetowy</t>
  </si>
  <si>
    <t xml:space="preserve">Kwota zobowiązań współtworzonego przez jst przypadających do spłaty w danym roku budżetowym podlegające doliczeniu zgodnie z art. 244 ufp </t>
  </si>
  <si>
    <t>0</t>
  </si>
  <si>
    <t xml:space="preserve">Planowana łączna kwota spłaty zobowiązań </t>
  </si>
  <si>
    <t xml:space="preserve">Maksymalny dopuszczalny wskaźnik spłaty z art. 243 ufp </t>
  </si>
  <si>
    <t xml:space="preserve">Spełnienie wskaźnika spłaty z art. 243 ufp po uwzględnieniu art. 244 ufp                                                 </t>
  </si>
  <si>
    <t>TAK</t>
  </si>
  <si>
    <t xml:space="preserve">Planowana łączna kwota spłaty zobowiązań/dochody ogółem - max 15% z  art. 169 sufp </t>
  </si>
  <si>
    <t xml:space="preserve">Zadłużenie/dochody ogółem ((17-17a):1) - max 60% z art. 170 sufp </t>
  </si>
  <si>
    <t xml:space="preserve">(Dochody bieżące + sprzedaż majątku - wydatki bieżące)/ dochody ogółem (Db + Sm - Wb)/D - dla danego roku </t>
  </si>
  <si>
    <t>Ocena spełnienia warunku uchwalenia budżetu z art. 243 ufp</t>
  </si>
  <si>
    <r>
      <t>Średnia arytmetyczna pozycji pierwszej z ostatnich trzech lat (</t>
    </r>
    <r>
      <rPr>
        <b/>
        <i/>
        <sz val="12"/>
        <rFont val="Arial CE"/>
        <charset val="238"/>
      </rPr>
      <t>prawa strona wzoru)</t>
    </r>
  </si>
  <si>
    <r>
      <t>Wskaźnik zadłużenia (</t>
    </r>
    <r>
      <rPr>
        <b/>
        <i/>
        <sz val="12"/>
        <rFont val="Arial CE"/>
        <charset val="238"/>
      </rPr>
      <t>lewa strona wzoru)</t>
    </r>
  </si>
  <si>
    <t>III kw. 2011</t>
  </si>
  <si>
    <r>
      <t xml:space="preserve">Dochody bieżące </t>
    </r>
    <r>
      <rPr>
        <b/>
        <sz val="10"/>
        <rFont val="Arial"/>
        <family val="2"/>
        <charset val="238"/>
      </rPr>
      <t>Db</t>
    </r>
  </si>
  <si>
    <r>
      <t xml:space="preserve">Dochody ze sprzedaży majątku </t>
    </r>
    <r>
      <rPr>
        <b/>
        <sz val="10"/>
        <rFont val="Arial CE"/>
        <charset val="238"/>
      </rPr>
      <t>Sm</t>
    </r>
  </si>
  <si>
    <r>
      <t xml:space="preserve">Wydatki bieżące  </t>
    </r>
    <r>
      <rPr>
        <b/>
        <sz val="10"/>
        <rFont val="Arial CE"/>
        <charset val="238"/>
      </rPr>
      <t xml:space="preserve">Wb </t>
    </r>
  </si>
  <si>
    <r>
      <t xml:space="preserve">Dochody ogółem  </t>
    </r>
    <r>
      <rPr>
        <b/>
        <sz val="10"/>
        <rFont val="Arial CE"/>
        <charset val="238"/>
      </rPr>
      <t>D</t>
    </r>
  </si>
  <si>
    <r>
      <t xml:space="preserve">rozchody z tytułu spłaty rat kapitałowych oraz wykup papierów wartościowych  </t>
    </r>
    <r>
      <rPr>
        <b/>
        <sz val="10"/>
        <rFont val="Arial CE"/>
        <charset val="238"/>
      </rPr>
      <t>R</t>
    </r>
  </si>
  <si>
    <r>
      <t xml:space="preserve">wydatki bieżące na obsługę długu  </t>
    </r>
    <r>
      <rPr>
        <b/>
        <sz val="10"/>
        <rFont val="Arial CE"/>
        <charset val="238"/>
      </rPr>
      <t>O</t>
    </r>
  </si>
  <si>
    <t>Nadwyżka budź + wolne środki</t>
  </si>
  <si>
    <r>
      <t xml:space="preserve">Lewa strona wzoru   </t>
    </r>
    <r>
      <rPr>
        <b/>
        <sz val="10"/>
        <rFont val="Arial CE"/>
        <charset val="238"/>
      </rPr>
      <t>R+O/D</t>
    </r>
  </si>
  <si>
    <r>
      <t xml:space="preserve">Db + Sm - Wb/ D </t>
    </r>
    <r>
      <rPr>
        <sz val="10"/>
        <rFont val="Arial CE"/>
        <charset val="238"/>
      </rPr>
      <t>na dany rok</t>
    </r>
  </si>
  <si>
    <r>
      <t xml:space="preserve">Prawa strona wzoru </t>
    </r>
    <r>
      <rPr>
        <sz val="10"/>
        <rFont val="Arial CE"/>
        <charset val="238"/>
      </rPr>
      <t xml:space="preserve">                             (średnia artymetyczna)</t>
    </r>
  </si>
  <si>
    <t>Spełnienie wskaźnika</t>
  </si>
  <si>
    <r>
      <rPr>
        <b/>
        <i/>
        <sz val="11"/>
        <color theme="1"/>
        <rFont val="Calibri"/>
        <family val="2"/>
        <charset val="238"/>
        <scheme val="minor"/>
      </rPr>
      <t xml:space="preserve">art. 242 ufp  </t>
    </r>
    <r>
      <rPr>
        <i/>
        <sz val="11"/>
        <color theme="1"/>
        <rFont val="Calibri"/>
        <family val="2"/>
        <charset val="238"/>
        <scheme val="minor"/>
      </rPr>
      <t xml:space="preserve">Wydatki bieżące </t>
    </r>
    <r>
      <rPr>
        <b/>
        <i/>
        <sz val="11"/>
        <color theme="1"/>
        <rFont val="Calibri"/>
        <family val="2"/>
        <charset val="238"/>
        <scheme val="minor"/>
      </rPr>
      <t xml:space="preserve"> &lt;= </t>
    </r>
    <r>
      <rPr>
        <i/>
        <sz val="11"/>
        <color theme="1"/>
        <rFont val="Calibri"/>
        <family val="2"/>
        <charset val="238"/>
        <scheme val="minor"/>
      </rPr>
      <t xml:space="preserve">dochody bieżące </t>
    </r>
    <r>
      <rPr>
        <b/>
        <i/>
        <sz val="11"/>
        <color theme="1"/>
        <rFont val="Calibri"/>
        <family val="2"/>
        <charset val="238"/>
        <scheme val="minor"/>
      </rPr>
      <t xml:space="preserve">+ </t>
    </r>
    <r>
      <rPr>
        <i/>
        <sz val="11"/>
        <color theme="1"/>
        <rFont val="Calibri"/>
        <family val="2"/>
        <charset val="238"/>
        <scheme val="minor"/>
      </rPr>
      <t>nadwyżka budżetowa z lat ubiegłych plus wolne środki</t>
    </r>
  </si>
  <si>
    <t>do uchwały nr XV/92/11</t>
  </si>
  <si>
    <t>z dnia 22 grudnia 2011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</si>
</sst>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6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2"/>
      <name val="Arial CE"/>
      <charset val="238"/>
    </font>
    <font>
      <sz val="10"/>
      <color indexed="10"/>
      <name val="Arial CE"/>
      <charset val="238"/>
    </font>
    <font>
      <b/>
      <sz val="14"/>
      <name val="Arial CE"/>
      <charset val="238"/>
    </font>
    <font>
      <sz val="10"/>
      <color indexed="12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i/>
      <sz val="12"/>
      <name val="Arial CE"/>
      <charset val="238"/>
    </font>
    <font>
      <b/>
      <i/>
      <sz val="11"/>
      <name val="Arial CE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sz val="11"/>
      <color theme="8" tint="-0.249977111117893"/>
      <name val="Arial CE"/>
      <charset val="238"/>
    </font>
    <font>
      <sz val="10"/>
      <color theme="8" tint="-0.249977111117893"/>
      <name val="Arial CE"/>
      <charset val="238"/>
    </font>
    <font>
      <b/>
      <i/>
      <sz val="11"/>
      <color indexed="10"/>
      <name val="Arial CE"/>
      <charset val="238"/>
    </font>
    <font>
      <b/>
      <sz val="11"/>
      <color indexed="10"/>
      <name val="Arial CE"/>
      <charset val="238"/>
    </font>
    <font>
      <b/>
      <sz val="11"/>
      <name val="Arial CE"/>
      <charset val="238"/>
    </font>
    <font>
      <b/>
      <sz val="12"/>
      <name val="Arial"/>
      <family val="2"/>
      <charset val="238"/>
    </font>
    <font>
      <i/>
      <sz val="11"/>
      <name val="Arial CE"/>
      <charset val="238"/>
    </font>
    <font>
      <sz val="12"/>
      <name val="Calibri"/>
      <family val="2"/>
      <charset val="238"/>
    </font>
    <font>
      <b/>
      <sz val="10"/>
      <color indexed="8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8"/>
      <color indexed="81"/>
      <name val="Tahoma"/>
      <charset val="1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249977111117893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1" fillId="0" borderId="0" xfId="0" applyFont="1"/>
    <xf numFmtId="0" fontId="2" fillId="0" borderId="0" xfId="0" applyFont="1" applyBorder="1"/>
    <xf numFmtId="0" fontId="0" fillId="0" borderId="0" xfId="0" applyFont="1" applyAlignment="1"/>
    <xf numFmtId="0" fontId="3" fillId="0" borderId="0" xfId="0" applyFont="1" applyFill="1"/>
    <xf numFmtId="0" fontId="1" fillId="0" borderId="0" xfId="0" applyFont="1" applyFill="1"/>
    <xf numFmtId="0" fontId="0" fillId="0" borderId="0" xfId="0" applyFont="1" applyFill="1" applyBorder="1" applyAlignment="1"/>
    <xf numFmtId="0" fontId="0" fillId="0" borderId="0" xfId="0" applyFill="1" applyAlignment="1"/>
    <xf numFmtId="0" fontId="5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/>
    <xf numFmtId="3" fontId="8" fillId="2" borderId="6" xfId="0" applyNumberFormat="1" applyFont="1" applyFill="1" applyBorder="1" applyAlignment="1" applyProtection="1">
      <alignment vertical="center"/>
    </xf>
    <xf numFmtId="0" fontId="9" fillId="0" borderId="0" xfId="0" applyFont="1"/>
    <xf numFmtId="3" fontId="2" fillId="2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3" fontId="2" fillId="2" borderId="12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3" fontId="6" fillId="2" borderId="6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3" fontId="2" fillId="3" borderId="20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3" borderId="21" xfId="0" applyNumberFormat="1" applyFont="1" applyFill="1" applyBorder="1" applyAlignment="1">
      <alignment vertical="center"/>
    </xf>
    <xf numFmtId="3" fontId="2" fillId="3" borderId="22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horizontal="right" vertical="center" wrapText="1"/>
    </xf>
    <xf numFmtId="3" fontId="2" fillId="0" borderId="28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3" fontId="8" fillId="5" borderId="30" xfId="0" applyNumberFormat="1" applyFont="1" applyFill="1" applyBorder="1" applyAlignment="1">
      <alignment vertical="center"/>
    </xf>
    <xf numFmtId="3" fontId="8" fillId="4" borderId="31" xfId="0" applyNumberFormat="1" applyFont="1" applyFill="1" applyBorder="1" applyAlignment="1">
      <alignment vertical="center"/>
    </xf>
    <xf numFmtId="0" fontId="14" fillId="0" borderId="0" xfId="0" applyFont="1"/>
    <xf numFmtId="3" fontId="6" fillId="0" borderId="33" xfId="0" applyNumberFormat="1" applyFont="1" applyFill="1" applyBorder="1" applyAlignment="1">
      <alignment vertical="center"/>
    </xf>
    <xf numFmtId="0" fontId="15" fillId="0" borderId="0" xfId="0" applyFont="1"/>
    <xf numFmtId="3" fontId="6" fillId="2" borderId="6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6" fillId="3" borderId="25" xfId="0" applyNumberFormat="1" applyFont="1" applyFill="1" applyBorder="1" applyAlignment="1">
      <alignment horizontal="center" vertical="center"/>
    </xf>
    <xf numFmtId="0" fontId="16" fillId="0" borderId="0" xfId="0" applyFont="1"/>
    <xf numFmtId="3" fontId="2" fillId="3" borderId="11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2" fillId="3" borderId="27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3" fontId="2" fillId="2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8" fillId="2" borderId="3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0" fontId="18" fillId="0" borderId="0" xfId="0" applyFont="1" applyBorder="1"/>
    <xf numFmtId="3" fontId="2" fillId="0" borderId="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6" fillId="2" borderId="43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right" vertical="center"/>
    </xf>
    <xf numFmtId="49" fontId="2" fillId="3" borderId="11" xfId="0" applyNumberFormat="1" applyFont="1" applyFill="1" applyBorder="1" applyAlignment="1">
      <alignment horizontal="right" vertical="center"/>
    </xf>
    <xf numFmtId="3" fontId="2" fillId="3" borderId="27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0" fontId="2" fillId="3" borderId="11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164" fontId="2" fillId="3" borderId="34" xfId="0" applyNumberFormat="1" applyFont="1" applyFill="1" applyBorder="1" applyAlignment="1">
      <alignment horizontal="center" vertical="center"/>
    </xf>
    <xf numFmtId="10" fontId="2" fillId="3" borderId="21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 wrapText="1"/>
    </xf>
    <xf numFmtId="49" fontId="6" fillId="3" borderId="24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left" vertical="center" wrapText="1"/>
    </xf>
    <xf numFmtId="164" fontId="2" fillId="3" borderId="24" xfId="0" applyNumberFormat="1" applyFont="1" applyFill="1" applyBorder="1" applyAlignment="1">
      <alignment horizontal="center" vertical="center"/>
    </xf>
    <xf numFmtId="49" fontId="6" fillId="3" borderId="40" xfId="0" applyNumberFormat="1" applyFont="1" applyFill="1" applyBorder="1" applyAlignment="1">
      <alignment horizontal="center" vertical="center"/>
    </xf>
    <xf numFmtId="49" fontId="6" fillId="3" borderId="45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0" xfId="0" applyFont="1"/>
    <xf numFmtId="0" fontId="19" fillId="0" borderId="0" xfId="0" applyFont="1" applyAlignment="1">
      <alignment horizontal="center"/>
    </xf>
    <xf numFmtId="3" fontId="8" fillId="0" borderId="31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right" vertical="center"/>
    </xf>
    <xf numFmtId="164" fontId="2" fillId="0" borderId="27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left" vertical="center"/>
    </xf>
    <xf numFmtId="164" fontId="6" fillId="3" borderId="4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7" borderId="33" xfId="0" applyFont="1" applyFill="1" applyBorder="1" applyAlignment="1">
      <alignment horizontal="center" vertical="center"/>
    </xf>
    <xf numFmtId="0" fontId="21" fillId="7" borderId="33" xfId="0" applyFont="1" applyFill="1" applyBorder="1" applyAlignment="1">
      <alignment horizontal="center" vertical="center"/>
    </xf>
    <xf numFmtId="0" fontId="21" fillId="7" borderId="32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0" fillId="0" borderId="39" xfId="0" applyBorder="1" applyAlignment="1">
      <alignment vertical="center" wrapText="1"/>
    </xf>
    <xf numFmtId="4" fontId="0" fillId="7" borderId="25" xfId="0" applyNumberFormat="1" applyFill="1" applyBorder="1" applyAlignment="1">
      <alignment vertical="center"/>
    </xf>
    <xf numFmtId="0" fontId="0" fillId="0" borderId="40" xfId="0" applyBorder="1" applyAlignment="1">
      <alignment vertical="center" wrapText="1"/>
    </xf>
    <xf numFmtId="4" fontId="0" fillId="7" borderId="27" xfId="0" applyNumberFormat="1" applyFill="1" applyBorder="1" applyAlignment="1">
      <alignment vertical="center"/>
    </xf>
    <xf numFmtId="4" fontId="0" fillId="7" borderId="27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 wrapText="1"/>
    </xf>
    <xf numFmtId="3" fontId="1" fillId="0" borderId="40" xfId="0" applyNumberFormat="1" applyFont="1" applyFill="1" applyBorder="1" applyAlignment="1">
      <alignment horizontal="left" vertical="center" wrapText="1"/>
    </xf>
    <xf numFmtId="4" fontId="0" fillId="7" borderId="27" xfId="0" applyNumberFormat="1" applyFill="1" applyBorder="1" applyAlignment="1">
      <alignment horizontal="center" vertical="center"/>
    </xf>
    <xf numFmtId="4" fontId="0" fillId="7" borderId="27" xfId="0" applyNumberFormat="1" applyFont="1" applyFill="1" applyBorder="1" applyAlignment="1">
      <alignment horizontal="center" vertical="center"/>
    </xf>
    <xf numFmtId="3" fontId="0" fillId="0" borderId="45" xfId="0" applyNumberFormat="1" applyFont="1" applyFill="1" applyBorder="1" applyAlignment="1">
      <alignment horizontal="left" vertical="center" wrapText="1"/>
    </xf>
    <xf numFmtId="4" fontId="0" fillId="7" borderId="19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0" fillId="7" borderId="1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1" fillId="7" borderId="4" xfId="0" applyFont="1" applyFill="1" applyBorder="1" applyAlignment="1">
      <alignment horizontal="center" vertical="center"/>
    </xf>
    <xf numFmtId="0" fontId="21" fillId="7" borderId="42" xfId="0" applyFont="1" applyFill="1" applyBorder="1" applyAlignment="1">
      <alignment horizontal="center" vertical="center"/>
    </xf>
    <xf numFmtId="0" fontId="20" fillId="6" borderId="46" xfId="0" applyFont="1" applyFill="1" applyBorder="1" applyAlignment="1">
      <alignment horizontal="center" vertical="center"/>
    </xf>
    <xf numFmtId="0" fontId="20" fillId="6" borderId="37" xfId="0" applyFont="1" applyFill="1" applyBorder="1" applyAlignment="1">
      <alignment horizontal="center" vertical="center"/>
    </xf>
    <xf numFmtId="0" fontId="20" fillId="8" borderId="3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164" fontId="0" fillId="7" borderId="47" xfId="0" applyNumberFormat="1" applyFill="1" applyBorder="1" applyAlignment="1">
      <alignment horizontal="center" vertical="center"/>
    </xf>
    <xf numFmtId="164" fontId="0" fillId="7" borderId="48" xfId="0" applyNumberFormat="1" applyFill="1" applyBorder="1" applyAlignment="1">
      <alignment horizontal="center" vertical="center"/>
    </xf>
    <xf numFmtId="164" fontId="0" fillId="7" borderId="49" xfId="0" applyNumberFormat="1" applyFont="1" applyFill="1" applyBorder="1" applyAlignment="1">
      <alignment horizontal="center" vertical="center"/>
    </xf>
    <xf numFmtId="164" fontId="21" fillId="0" borderId="49" xfId="0" applyNumberFormat="1" applyFont="1" applyBorder="1" applyAlignment="1">
      <alignment horizontal="center" vertical="center"/>
    </xf>
    <xf numFmtId="164" fontId="21" fillId="0" borderId="47" xfId="0" applyNumberFormat="1" applyFont="1" applyBorder="1" applyAlignment="1">
      <alignment horizontal="center" vertical="center"/>
    </xf>
    <xf numFmtId="164" fontId="21" fillId="0" borderId="47" xfId="0" applyNumberFormat="1" applyFont="1" applyFill="1" applyBorder="1" applyAlignment="1">
      <alignment horizontal="center" vertical="center"/>
    </xf>
    <xf numFmtId="0" fontId="21" fillId="0" borderId="28" xfId="0" applyFont="1" applyBorder="1" applyAlignment="1">
      <alignment horizontal="left" vertical="center" wrapText="1"/>
    </xf>
    <xf numFmtId="164" fontId="0" fillId="7" borderId="10" xfId="0" applyNumberFormat="1" applyFill="1" applyBorder="1" applyAlignment="1">
      <alignment horizontal="center" vertical="center"/>
    </xf>
    <xf numFmtId="164" fontId="0" fillId="7" borderId="50" xfId="0" applyNumberFormat="1" applyFill="1" applyBorder="1" applyAlignment="1">
      <alignment horizontal="center" vertical="center"/>
    </xf>
    <xf numFmtId="164" fontId="0" fillId="7" borderId="16" xfId="0" applyNumberFormat="1" applyFon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164" fontId="0" fillId="7" borderId="10" xfId="0" applyNumberFormat="1" applyFill="1" applyBorder="1" applyAlignment="1">
      <alignment horizontal="center" vertical="center" wrapText="1"/>
    </xf>
    <xf numFmtId="164" fontId="0" fillId="7" borderId="50" xfId="0" applyNumberFormat="1" applyFill="1" applyBorder="1" applyAlignment="1">
      <alignment horizontal="center" vertical="center" wrapText="1"/>
    </xf>
    <xf numFmtId="164" fontId="0" fillId="7" borderId="16" xfId="0" applyNumberFormat="1" applyFont="1" applyFill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21" fillId="7" borderId="13" xfId="0" applyFont="1" applyFill="1" applyBorder="1" applyAlignment="1">
      <alignment horizontal="center" vertical="center"/>
    </xf>
    <xf numFmtId="0" fontId="21" fillId="7" borderId="51" xfId="0" applyFont="1" applyFill="1" applyBorder="1" applyAlignment="1">
      <alignment horizontal="center" vertical="center"/>
    </xf>
    <xf numFmtId="0" fontId="21" fillId="7" borderId="52" xfId="0" applyFont="1" applyFill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0" xfId="0" applyFont="1"/>
    <xf numFmtId="0" fontId="6" fillId="2" borderId="38" xfId="0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34" xfId="0" applyNumberFormat="1" applyFont="1" applyFill="1" applyBorder="1" applyAlignment="1">
      <alignment horizontal="right" vertical="center" wrapText="1"/>
    </xf>
    <xf numFmtId="3" fontId="8" fillId="0" borderId="44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2" borderId="43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3" fontId="6" fillId="2" borderId="47" xfId="0" applyNumberFormat="1" applyFont="1" applyFill="1" applyBorder="1" applyAlignment="1">
      <alignment vertical="center"/>
    </xf>
    <xf numFmtId="3" fontId="2" fillId="2" borderId="30" xfId="0" applyNumberFormat="1" applyFont="1" applyFill="1" applyBorder="1" applyAlignment="1">
      <alignment vertical="center"/>
    </xf>
    <xf numFmtId="0" fontId="24" fillId="9" borderId="3" xfId="0" applyFont="1" applyFill="1" applyBorder="1" applyAlignment="1">
      <alignment vertical="center" wrapText="1"/>
    </xf>
    <xf numFmtId="4" fontId="24" fillId="9" borderId="1" xfId="0" applyNumberFormat="1" applyFont="1" applyFill="1" applyBorder="1" applyAlignment="1">
      <alignment horizontal="right" vertical="center"/>
    </xf>
    <xf numFmtId="4" fontId="24" fillId="9" borderId="4" xfId="0" applyNumberFormat="1" applyFont="1" applyFill="1" applyBorder="1" applyAlignment="1">
      <alignment horizontal="right" vertical="center"/>
    </xf>
    <xf numFmtId="4" fontId="0" fillId="7" borderId="5" xfId="0" quotePrefix="1" applyNumberFormat="1" applyFont="1" applyFill="1" applyBorder="1" applyAlignment="1">
      <alignment vertical="center"/>
    </xf>
    <xf numFmtId="4" fontId="0" fillId="7" borderId="9" xfId="0" applyNumberFormat="1" applyFont="1" applyFill="1" applyBorder="1" applyAlignment="1">
      <alignment vertical="center"/>
    </xf>
    <xf numFmtId="4" fontId="0" fillId="7" borderId="17" xfId="0" applyNumberFormat="1" applyFont="1" applyFill="1" applyBorder="1" applyAlignment="1">
      <alignment vertical="center"/>
    </xf>
    <xf numFmtId="4" fontId="24" fillId="9" borderId="2" xfId="0" applyNumberFormat="1" applyFont="1" applyFill="1" applyBorder="1" applyAlignment="1">
      <alignment horizontal="right" vertical="center"/>
    </xf>
    <xf numFmtId="3" fontId="0" fillId="0" borderId="6" xfId="0" quotePrefix="1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4" fontId="24" fillId="9" borderId="37" xfId="0" applyNumberFormat="1" applyFont="1" applyFill="1" applyBorder="1" applyAlignment="1">
      <alignment horizontal="right" vertical="center"/>
    </xf>
    <xf numFmtId="3" fontId="0" fillId="0" borderId="54" xfId="0" quotePrefix="1" applyNumberFormat="1" applyBorder="1" applyAlignment="1">
      <alignment vertical="center"/>
    </xf>
    <xf numFmtId="3" fontId="0" fillId="0" borderId="50" xfId="0" applyNumberFormat="1" applyBorder="1" applyAlignment="1">
      <alignment vertical="center"/>
    </xf>
    <xf numFmtId="3" fontId="1" fillId="0" borderId="50" xfId="0" applyNumberFormat="1" applyFont="1" applyFill="1" applyBorder="1" applyAlignment="1">
      <alignment vertical="center"/>
    </xf>
    <xf numFmtId="3" fontId="1" fillId="0" borderId="55" xfId="0" applyNumberFormat="1" applyFont="1" applyFill="1" applyBorder="1" applyAlignment="1">
      <alignment vertical="center"/>
    </xf>
    <xf numFmtId="4" fontId="24" fillId="9" borderId="56" xfId="0" applyNumberFormat="1" applyFont="1" applyFill="1" applyBorder="1" applyAlignment="1">
      <alignment horizontal="right" vertical="center"/>
    </xf>
    <xf numFmtId="0" fontId="20" fillId="8" borderId="2" xfId="0" applyFont="1" applyFill="1" applyBorder="1" applyAlignment="1">
      <alignment horizontal="center" vertical="center"/>
    </xf>
    <xf numFmtId="3" fontId="0" fillId="0" borderId="24" xfId="0" quotePrefix="1" applyNumberFormat="1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1" fillId="0" borderId="40" xfId="0" applyNumberFormat="1" applyFont="1" applyFill="1" applyBorder="1" applyAlignment="1">
      <alignment vertical="center"/>
    </xf>
    <xf numFmtId="3" fontId="1" fillId="0" borderId="41" xfId="0" applyNumberFormat="1" applyFont="1" applyFill="1" applyBorder="1" applyAlignment="1">
      <alignment vertical="center"/>
    </xf>
    <xf numFmtId="4" fontId="24" fillId="9" borderId="3" xfId="0" applyNumberFormat="1" applyFont="1" applyFill="1" applyBorder="1" applyAlignment="1">
      <alignment horizontal="right" vertical="center"/>
    </xf>
    <xf numFmtId="3" fontId="0" fillId="0" borderId="30" xfId="0" quotePrefix="1" applyNumberFormat="1" applyBorder="1" applyAlignment="1">
      <alignment vertical="center"/>
    </xf>
    <xf numFmtId="0" fontId="24" fillId="9" borderId="37" xfId="0" applyFont="1" applyFill="1" applyBorder="1" applyAlignment="1">
      <alignment wrapText="1"/>
    </xf>
    <xf numFmtId="0" fontId="24" fillId="9" borderId="56" xfId="0" applyFont="1" applyFill="1" applyBorder="1" applyAlignment="1">
      <alignment horizontal="center" vertical="center"/>
    </xf>
    <xf numFmtId="0" fontId="24" fillId="9" borderId="37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</xf>
    <xf numFmtId="3" fontId="8" fillId="0" borderId="25" xfId="0" applyNumberFormat="1" applyFont="1" applyFill="1" applyBorder="1" applyAlignment="1" applyProtection="1">
      <alignment vertical="center"/>
    </xf>
    <xf numFmtId="3" fontId="8" fillId="0" borderId="26" xfId="0" applyNumberFormat="1" applyFont="1" applyFill="1" applyBorder="1" applyAlignment="1" applyProtection="1">
      <alignment vertical="center"/>
    </xf>
    <xf numFmtId="3" fontId="2" fillId="0" borderId="57" xfId="0" applyNumberFormat="1" applyFont="1" applyFill="1" applyBorder="1" applyAlignment="1">
      <alignment vertical="center"/>
    </xf>
    <xf numFmtId="3" fontId="8" fillId="4" borderId="58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3" borderId="26" xfId="0" applyNumberFormat="1" applyFont="1" applyFill="1" applyBorder="1" applyAlignment="1">
      <alignment horizontal="center" vertical="center"/>
    </xf>
    <xf numFmtId="3" fontId="2" fillId="3" borderId="28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59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3" borderId="28" xfId="0" applyNumberFormat="1" applyFont="1" applyFill="1" applyBorder="1" applyAlignment="1">
      <alignment horizontal="right" vertical="center"/>
    </xf>
    <xf numFmtId="164" fontId="2" fillId="3" borderId="28" xfId="0" applyNumberFormat="1" applyFont="1" applyFill="1" applyBorder="1" applyAlignment="1">
      <alignment horizontal="center" vertical="center"/>
    </xf>
    <xf numFmtId="10" fontId="2" fillId="3" borderId="28" xfId="0" applyNumberFormat="1" applyFont="1" applyFill="1" applyBorder="1" applyAlignment="1">
      <alignment horizontal="center" vertical="center"/>
    </xf>
    <xf numFmtId="10" fontId="2" fillId="3" borderId="34" xfId="0" applyNumberFormat="1" applyFont="1" applyFill="1" applyBorder="1" applyAlignment="1">
      <alignment horizontal="center" vertical="center"/>
    </xf>
    <xf numFmtId="10" fontId="2" fillId="3" borderId="22" xfId="0" applyNumberFormat="1" applyFont="1" applyFill="1" applyBorder="1" applyAlignment="1">
      <alignment horizontal="center" vertical="center"/>
    </xf>
    <xf numFmtId="3" fontId="6" fillId="3" borderId="60" xfId="0" applyNumberFormat="1" applyFont="1" applyFill="1" applyBorder="1" applyAlignment="1">
      <alignment horizontal="left" vertical="center" wrapText="1"/>
    </xf>
    <xf numFmtId="3" fontId="2" fillId="3" borderId="50" xfId="0" applyNumberFormat="1" applyFont="1" applyFill="1" applyBorder="1" applyAlignment="1">
      <alignment horizontal="left" vertical="center" wrapText="1"/>
    </xf>
    <xf numFmtId="3" fontId="6" fillId="3" borderId="50" xfId="0" applyNumberFormat="1" applyFont="1" applyFill="1" applyBorder="1" applyAlignment="1">
      <alignment horizontal="left" vertical="center" wrapText="1"/>
    </xf>
    <xf numFmtId="4" fontId="6" fillId="3" borderId="50" xfId="0" applyNumberFormat="1" applyFont="1" applyFill="1" applyBorder="1" applyAlignment="1">
      <alignment horizontal="left" vertical="center" wrapText="1"/>
    </xf>
    <xf numFmtId="3" fontId="6" fillId="3" borderId="51" xfId="0" applyNumberFormat="1" applyFont="1" applyFill="1" applyBorder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6" fillId="3" borderId="10" xfId="0" applyNumberFormat="1" applyFont="1" applyFill="1" applyBorder="1" applyAlignment="1">
      <alignment horizontal="center" vertical="center"/>
    </xf>
    <xf numFmtId="3" fontId="6" fillId="3" borderId="13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 wrapText="1"/>
    </xf>
    <xf numFmtId="3" fontId="8" fillId="3" borderId="60" xfId="0" applyNumberFormat="1" applyFont="1" applyFill="1" applyBorder="1" applyAlignment="1">
      <alignment horizontal="left" vertical="center" wrapText="1"/>
    </xf>
    <xf numFmtId="3" fontId="2" fillId="3" borderId="51" xfId="0" applyNumberFormat="1" applyFont="1" applyFill="1" applyBorder="1" applyAlignment="1">
      <alignment horizontal="left" vertical="center" wrapText="1"/>
    </xf>
    <xf numFmtId="3" fontId="2" fillId="3" borderId="55" xfId="0" applyNumberFormat="1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>
      <alignment horizontal="left" vertical="center" wrapText="1"/>
    </xf>
    <xf numFmtId="3" fontId="8" fillId="4" borderId="54" xfId="0" applyNumberFormat="1" applyFont="1" applyFill="1" applyBorder="1" applyAlignment="1">
      <alignment horizontal="left" vertical="center" wrapText="1"/>
    </xf>
    <xf numFmtId="3" fontId="6" fillId="3" borderId="48" xfId="0" applyNumberFormat="1" applyFont="1" applyFill="1" applyBorder="1" applyAlignment="1">
      <alignment horizontal="left" vertical="center" wrapText="1"/>
    </xf>
    <xf numFmtId="3" fontId="8" fillId="3" borderId="56" xfId="0" applyNumberFormat="1" applyFont="1" applyFill="1" applyBorder="1" applyAlignment="1">
      <alignment horizontal="left" vertical="center" wrapText="1"/>
    </xf>
    <xf numFmtId="3" fontId="6" fillId="3" borderId="54" xfId="0" applyNumberFormat="1" applyFont="1" applyFill="1" applyBorder="1" applyAlignment="1">
      <alignment horizontal="left" vertical="center" wrapText="1"/>
    </xf>
    <xf numFmtId="3" fontId="6" fillId="3" borderId="55" xfId="0" applyNumberFormat="1" applyFont="1" applyFill="1" applyBorder="1" applyAlignment="1">
      <alignment horizontal="left" vertical="center" wrapText="1"/>
    </xf>
    <xf numFmtId="3" fontId="6" fillId="3" borderId="61" xfId="0" applyNumberFormat="1" applyFont="1" applyFill="1" applyBorder="1" applyAlignment="1">
      <alignment horizontal="left" vertical="center" wrapText="1"/>
    </xf>
    <xf numFmtId="3" fontId="8" fillId="3" borderId="6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6" fillId="3" borderId="35" xfId="0" applyNumberFormat="1" applyFont="1" applyFill="1" applyBorder="1" applyAlignment="1">
      <alignment horizontal="center" vertical="center"/>
    </xf>
    <xf numFmtId="3" fontId="8" fillId="4" borderId="30" xfId="0" applyNumberFormat="1" applyFont="1" applyFill="1" applyBorder="1" applyAlignment="1">
      <alignment horizontal="center" vertical="center"/>
    </xf>
    <xf numFmtId="3" fontId="6" fillId="3" borderId="47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" fontId="8" fillId="3" borderId="37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3" borderId="43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3" fontId="2" fillId="3" borderId="0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center" vertical="top"/>
    </xf>
    <xf numFmtId="3" fontId="2" fillId="3" borderId="0" xfId="0" applyNumberFormat="1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si&#281;gowosc/Pulpit/Ela/WPF/wpf%20-%202012/Projekt%202012/WPF%202012%20-%20Za&#322;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F"/>
      <sheetName val="Wlk. inform."/>
    </sheetNames>
    <sheetDataSet>
      <sheetData sheetId="0">
        <row r="28">
          <cell r="C28">
            <v>2700000</v>
          </cell>
          <cell r="D28">
            <v>1846903</v>
          </cell>
          <cell r="E28">
            <v>0</v>
          </cell>
          <cell r="F28">
            <v>0</v>
          </cell>
          <cell r="G28">
            <v>0</v>
          </cell>
        </row>
      </sheetData>
      <sheetData sheetId="1">
        <row r="11">
          <cell r="F11">
            <v>3.9431135389677435E-2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6"/>
  <sheetViews>
    <sheetView tabSelected="1" view="pageBreakPreview" zoomScale="75" zoomScaleNormal="100" zoomScaleSheetLayoutView="75" workbookViewId="0">
      <selection activeCell="F15" sqref="F15"/>
    </sheetView>
  </sheetViews>
  <sheetFormatPr defaultRowHeight="15" x14ac:dyDescent="0.25"/>
  <cols>
    <col min="1" max="1" width="4.7109375" style="1" customWidth="1"/>
    <col min="2" max="2" width="104.42578125" style="1" customWidth="1"/>
    <col min="3" max="7" width="25" style="1" customWidth="1"/>
    <col min="8" max="255" width="9.140625" style="1"/>
    <col min="257" max="257" width="4.7109375" customWidth="1"/>
    <col min="258" max="258" width="106.7109375" customWidth="1"/>
    <col min="259" max="263" width="19.85546875" customWidth="1"/>
    <col min="513" max="513" width="4.7109375" customWidth="1"/>
    <col min="514" max="514" width="106.7109375" customWidth="1"/>
    <col min="515" max="519" width="19.85546875" customWidth="1"/>
    <col min="769" max="769" width="4.7109375" customWidth="1"/>
    <col min="770" max="770" width="106.7109375" customWidth="1"/>
    <col min="771" max="775" width="19.85546875" customWidth="1"/>
    <col min="1025" max="1025" width="4.7109375" customWidth="1"/>
    <col min="1026" max="1026" width="106.7109375" customWidth="1"/>
    <col min="1027" max="1031" width="19.85546875" customWidth="1"/>
    <col min="1281" max="1281" width="4.7109375" customWidth="1"/>
    <col min="1282" max="1282" width="106.7109375" customWidth="1"/>
    <col min="1283" max="1287" width="19.85546875" customWidth="1"/>
    <col min="1537" max="1537" width="4.7109375" customWidth="1"/>
    <col min="1538" max="1538" width="106.7109375" customWidth="1"/>
    <col min="1539" max="1543" width="19.85546875" customWidth="1"/>
    <col min="1793" max="1793" width="4.7109375" customWidth="1"/>
    <col min="1794" max="1794" width="106.7109375" customWidth="1"/>
    <col min="1795" max="1799" width="19.85546875" customWidth="1"/>
    <col min="2049" max="2049" width="4.7109375" customWidth="1"/>
    <col min="2050" max="2050" width="106.7109375" customWidth="1"/>
    <col min="2051" max="2055" width="19.85546875" customWidth="1"/>
    <col min="2305" max="2305" width="4.7109375" customWidth="1"/>
    <col min="2306" max="2306" width="106.7109375" customWidth="1"/>
    <col min="2307" max="2311" width="19.85546875" customWidth="1"/>
    <col min="2561" max="2561" width="4.7109375" customWidth="1"/>
    <col min="2562" max="2562" width="106.7109375" customWidth="1"/>
    <col min="2563" max="2567" width="19.85546875" customWidth="1"/>
    <col min="2817" max="2817" width="4.7109375" customWidth="1"/>
    <col min="2818" max="2818" width="106.7109375" customWidth="1"/>
    <col min="2819" max="2823" width="19.85546875" customWidth="1"/>
    <col min="3073" max="3073" width="4.7109375" customWidth="1"/>
    <col min="3074" max="3074" width="106.7109375" customWidth="1"/>
    <col min="3075" max="3079" width="19.85546875" customWidth="1"/>
    <col min="3329" max="3329" width="4.7109375" customWidth="1"/>
    <col min="3330" max="3330" width="106.7109375" customWidth="1"/>
    <col min="3331" max="3335" width="19.85546875" customWidth="1"/>
    <col min="3585" max="3585" width="4.7109375" customWidth="1"/>
    <col min="3586" max="3586" width="106.7109375" customWidth="1"/>
    <col min="3587" max="3591" width="19.85546875" customWidth="1"/>
    <col min="3841" max="3841" width="4.7109375" customWidth="1"/>
    <col min="3842" max="3842" width="106.7109375" customWidth="1"/>
    <col min="3843" max="3847" width="19.85546875" customWidth="1"/>
    <col min="4097" max="4097" width="4.7109375" customWidth="1"/>
    <col min="4098" max="4098" width="106.7109375" customWidth="1"/>
    <col min="4099" max="4103" width="19.85546875" customWidth="1"/>
    <col min="4353" max="4353" width="4.7109375" customWidth="1"/>
    <col min="4354" max="4354" width="106.7109375" customWidth="1"/>
    <col min="4355" max="4359" width="19.85546875" customWidth="1"/>
    <col min="4609" max="4609" width="4.7109375" customWidth="1"/>
    <col min="4610" max="4610" width="106.7109375" customWidth="1"/>
    <col min="4611" max="4615" width="19.85546875" customWidth="1"/>
    <col min="4865" max="4865" width="4.7109375" customWidth="1"/>
    <col min="4866" max="4866" width="106.7109375" customWidth="1"/>
    <col min="4867" max="4871" width="19.85546875" customWidth="1"/>
    <col min="5121" max="5121" width="4.7109375" customWidth="1"/>
    <col min="5122" max="5122" width="106.7109375" customWidth="1"/>
    <col min="5123" max="5127" width="19.85546875" customWidth="1"/>
    <col min="5377" max="5377" width="4.7109375" customWidth="1"/>
    <col min="5378" max="5378" width="106.7109375" customWidth="1"/>
    <col min="5379" max="5383" width="19.85546875" customWidth="1"/>
    <col min="5633" max="5633" width="4.7109375" customWidth="1"/>
    <col min="5634" max="5634" width="106.7109375" customWidth="1"/>
    <col min="5635" max="5639" width="19.85546875" customWidth="1"/>
    <col min="5889" max="5889" width="4.7109375" customWidth="1"/>
    <col min="5890" max="5890" width="106.7109375" customWidth="1"/>
    <col min="5891" max="5895" width="19.85546875" customWidth="1"/>
    <col min="6145" max="6145" width="4.7109375" customWidth="1"/>
    <col min="6146" max="6146" width="106.7109375" customWidth="1"/>
    <col min="6147" max="6151" width="19.85546875" customWidth="1"/>
    <col min="6401" max="6401" width="4.7109375" customWidth="1"/>
    <col min="6402" max="6402" width="106.7109375" customWidth="1"/>
    <col min="6403" max="6407" width="19.85546875" customWidth="1"/>
    <col min="6657" max="6657" width="4.7109375" customWidth="1"/>
    <col min="6658" max="6658" width="106.7109375" customWidth="1"/>
    <col min="6659" max="6663" width="19.85546875" customWidth="1"/>
    <col min="6913" max="6913" width="4.7109375" customWidth="1"/>
    <col min="6914" max="6914" width="106.7109375" customWidth="1"/>
    <col min="6915" max="6919" width="19.85546875" customWidth="1"/>
    <col min="7169" max="7169" width="4.7109375" customWidth="1"/>
    <col min="7170" max="7170" width="106.7109375" customWidth="1"/>
    <col min="7171" max="7175" width="19.85546875" customWidth="1"/>
    <col min="7425" max="7425" width="4.7109375" customWidth="1"/>
    <col min="7426" max="7426" width="106.7109375" customWidth="1"/>
    <col min="7427" max="7431" width="19.85546875" customWidth="1"/>
    <col min="7681" max="7681" width="4.7109375" customWidth="1"/>
    <col min="7682" max="7682" width="106.7109375" customWidth="1"/>
    <col min="7683" max="7687" width="19.85546875" customWidth="1"/>
    <col min="7937" max="7937" width="4.7109375" customWidth="1"/>
    <col min="7938" max="7938" width="106.7109375" customWidth="1"/>
    <col min="7939" max="7943" width="19.85546875" customWidth="1"/>
    <col min="8193" max="8193" width="4.7109375" customWidth="1"/>
    <col min="8194" max="8194" width="106.7109375" customWidth="1"/>
    <col min="8195" max="8199" width="19.85546875" customWidth="1"/>
    <col min="8449" max="8449" width="4.7109375" customWidth="1"/>
    <col min="8450" max="8450" width="106.7109375" customWidth="1"/>
    <col min="8451" max="8455" width="19.85546875" customWidth="1"/>
    <col min="8705" max="8705" width="4.7109375" customWidth="1"/>
    <col min="8706" max="8706" width="106.7109375" customWidth="1"/>
    <col min="8707" max="8711" width="19.85546875" customWidth="1"/>
    <col min="8961" max="8961" width="4.7109375" customWidth="1"/>
    <col min="8962" max="8962" width="106.7109375" customWidth="1"/>
    <col min="8963" max="8967" width="19.85546875" customWidth="1"/>
    <col min="9217" max="9217" width="4.7109375" customWidth="1"/>
    <col min="9218" max="9218" width="106.7109375" customWidth="1"/>
    <col min="9219" max="9223" width="19.85546875" customWidth="1"/>
    <col min="9473" max="9473" width="4.7109375" customWidth="1"/>
    <col min="9474" max="9474" width="106.7109375" customWidth="1"/>
    <col min="9475" max="9479" width="19.85546875" customWidth="1"/>
    <col min="9729" max="9729" width="4.7109375" customWidth="1"/>
    <col min="9730" max="9730" width="106.7109375" customWidth="1"/>
    <col min="9731" max="9735" width="19.85546875" customWidth="1"/>
    <col min="9985" max="9985" width="4.7109375" customWidth="1"/>
    <col min="9986" max="9986" width="106.7109375" customWidth="1"/>
    <col min="9987" max="9991" width="19.85546875" customWidth="1"/>
    <col min="10241" max="10241" width="4.7109375" customWidth="1"/>
    <col min="10242" max="10242" width="106.7109375" customWidth="1"/>
    <col min="10243" max="10247" width="19.85546875" customWidth="1"/>
    <col min="10497" max="10497" width="4.7109375" customWidth="1"/>
    <col min="10498" max="10498" width="106.7109375" customWidth="1"/>
    <col min="10499" max="10503" width="19.85546875" customWidth="1"/>
    <col min="10753" max="10753" width="4.7109375" customWidth="1"/>
    <col min="10754" max="10754" width="106.7109375" customWidth="1"/>
    <col min="10755" max="10759" width="19.85546875" customWidth="1"/>
    <col min="11009" max="11009" width="4.7109375" customWidth="1"/>
    <col min="11010" max="11010" width="106.7109375" customWidth="1"/>
    <col min="11011" max="11015" width="19.85546875" customWidth="1"/>
    <col min="11265" max="11265" width="4.7109375" customWidth="1"/>
    <col min="11266" max="11266" width="106.7109375" customWidth="1"/>
    <col min="11267" max="11271" width="19.85546875" customWidth="1"/>
    <col min="11521" max="11521" width="4.7109375" customWidth="1"/>
    <col min="11522" max="11522" width="106.7109375" customWidth="1"/>
    <col min="11523" max="11527" width="19.85546875" customWidth="1"/>
    <col min="11777" max="11777" width="4.7109375" customWidth="1"/>
    <col min="11778" max="11778" width="106.7109375" customWidth="1"/>
    <col min="11779" max="11783" width="19.85546875" customWidth="1"/>
    <col min="12033" max="12033" width="4.7109375" customWidth="1"/>
    <col min="12034" max="12034" width="106.7109375" customWidth="1"/>
    <col min="12035" max="12039" width="19.85546875" customWidth="1"/>
    <col min="12289" max="12289" width="4.7109375" customWidth="1"/>
    <col min="12290" max="12290" width="106.7109375" customWidth="1"/>
    <col min="12291" max="12295" width="19.85546875" customWidth="1"/>
    <col min="12545" max="12545" width="4.7109375" customWidth="1"/>
    <col min="12546" max="12546" width="106.7109375" customWidth="1"/>
    <col min="12547" max="12551" width="19.85546875" customWidth="1"/>
    <col min="12801" max="12801" width="4.7109375" customWidth="1"/>
    <col min="12802" max="12802" width="106.7109375" customWidth="1"/>
    <col min="12803" max="12807" width="19.85546875" customWidth="1"/>
    <col min="13057" max="13057" width="4.7109375" customWidth="1"/>
    <col min="13058" max="13058" width="106.7109375" customWidth="1"/>
    <col min="13059" max="13063" width="19.85546875" customWidth="1"/>
    <col min="13313" max="13313" width="4.7109375" customWidth="1"/>
    <col min="13314" max="13314" width="106.7109375" customWidth="1"/>
    <col min="13315" max="13319" width="19.85546875" customWidth="1"/>
    <col min="13569" max="13569" width="4.7109375" customWidth="1"/>
    <col min="13570" max="13570" width="106.7109375" customWidth="1"/>
    <col min="13571" max="13575" width="19.85546875" customWidth="1"/>
    <col min="13825" max="13825" width="4.7109375" customWidth="1"/>
    <col min="13826" max="13826" width="106.7109375" customWidth="1"/>
    <col min="13827" max="13831" width="19.85546875" customWidth="1"/>
    <col min="14081" max="14081" width="4.7109375" customWidth="1"/>
    <col min="14082" max="14082" width="106.7109375" customWidth="1"/>
    <col min="14083" max="14087" width="19.85546875" customWidth="1"/>
    <col min="14337" max="14337" width="4.7109375" customWidth="1"/>
    <col min="14338" max="14338" width="106.7109375" customWidth="1"/>
    <col min="14339" max="14343" width="19.85546875" customWidth="1"/>
    <col min="14593" max="14593" width="4.7109375" customWidth="1"/>
    <col min="14594" max="14594" width="106.7109375" customWidth="1"/>
    <col min="14595" max="14599" width="19.85546875" customWidth="1"/>
    <col min="14849" max="14849" width="4.7109375" customWidth="1"/>
    <col min="14850" max="14850" width="106.7109375" customWidth="1"/>
    <col min="14851" max="14855" width="19.85546875" customWidth="1"/>
    <col min="15105" max="15105" width="4.7109375" customWidth="1"/>
    <col min="15106" max="15106" width="106.7109375" customWidth="1"/>
    <col min="15107" max="15111" width="19.85546875" customWidth="1"/>
    <col min="15361" max="15361" width="4.7109375" customWidth="1"/>
    <col min="15362" max="15362" width="106.7109375" customWidth="1"/>
    <col min="15363" max="15367" width="19.85546875" customWidth="1"/>
    <col min="15617" max="15617" width="4.7109375" customWidth="1"/>
    <col min="15618" max="15618" width="106.7109375" customWidth="1"/>
    <col min="15619" max="15623" width="19.85546875" customWidth="1"/>
    <col min="15873" max="15873" width="4.7109375" customWidth="1"/>
    <col min="15874" max="15874" width="106.7109375" customWidth="1"/>
    <col min="15875" max="15879" width="19.85546875" customWidth="1"/>
    <col min="16129" max="16129" width="4.7109375" customWidth="1"/>
    <col min="16130" max="16130" width="106.7109375" customWidth="1"/>
    <col min="16131" max="16135" width="19.85546875" customWidth="1"/>
  </cols>
  <sheetData>
    <row r="1" spans="1:255" ht="15.75" x14ac:dyDescent="0.25">
      <c r="F1" s="2" t="s">
        <v>0</v>
      </c>
      <c r="G1" s="3"/>
    </row>
    <row r="2" spans="1:255" ht="15.75" x14ac:dyDescent="0.25">
      <c r="A2" s="4"/>
      <c r="B2" s="5"/>
      <c r="F2" s="2" t="s">
        <v>70</v>
      </c>
      <c r="G2" s="6"/>
    </row>
    <row r="3" spans="1:255" ht="15.75" x14ac:dyDescent="0.25">
      <c r="A3" s="4"/>
      <c r="B3" s="7"/>
      <c r="F3" s="2" t="s">
        <v>1</v>
      </c>
      <c r="G3" s="3"/>
    </row>
    <row r="4" spans="1:255" ht="15.75" x14ac:dyDescent="0.25">
      <c r="F4" s="2" t="s">
        <v>71</v>
      </c>
      <c r="G4" s="3"/>
    </row>
    <row r="5" spans="1:255" ht="18" x14ac:dyDescent="0.25">
      <c r="A5" s="249" t="s">
        <v>2</v>
      </c>
      <c r="B5" s="250"/>
      <c r="C5" s="250"/>
      <c r="D5" s="250"/>
      <c r="E5" s="250"/>
      <c r="F5" s="250"/>
      <c r="G5" s="250"/>
    </row>
    <row r="6" spans="1:255" ht="15.75" thickBot="1" x14ac:dyDescent="0.3">
      <c r="C6" s="8"/>
      <c r="D6" s="8"/>
      <c r="E6" s="8"/>
      <c r="F6" s="8"/>
      <c r="G6" s="8"/>
    </row>
    <row r="7" spans="1:255" ht="27" customHeight="1" thickBot="1" x14ac:dyDescent="0.3">
      <c r="A7" s="80" t="s">
        <v>3</v>
      </c>
      <c r="B7" s="220" t="s">
        <v>4</v>
      </c>
      <c r="C7" s="80">
        <v>2012</v>
      </c>
      <c r="D7" s="151">
        <v>2013</v>
      </c>
      <c r="E7" s="10">
        <v>2014</v>
      </c>
      <c r="F7" s="10">
        <v>2015</v>
      </c>
      <c r="G7" s="246">
        <v>2016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ht="21" customHeight="1" x14ac:dyDescent="0.25">
      <c r="A8" s="231">
        <v>1</v>
      </c>
      <c r="B8" s="221" t="s">
        <v>5</v>
      </c>
      <c r="C8" s="12">
        <f>C9+C11</f>
        <v>80143850</v>
      </c>
      <c r="D8" s="190">
        <f>D9+D11</f>
        <v>87583318.424999997</v>
      </c>
      <c r="E8" s="191">
        <f>E9+E11</f>
        <v>87267496</v>
      </c>
      <c r="F8" s="191">
        <f>F9+F11</f>
        <v>84377659</v>
      </c>
      <c r="G8" s="192">
        <f>G9+G11</f>
        <v>85877765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1:255" ht="21" customHeight="1" x14ac:dyDescent="0.25">
      <c r="A9" s="217" t="s">
        <v>6</v>
      </c>
      <c r="B9" s="212" t="s">
        <v>7</v>
      </c>
      <c r="C9" s="14">
        <f>77318593</f>
        <v>77318593</v>
      </c>
      <c r="D9" s="15">
        <f>80251560</f>
        <v>80251560</v>
      </c>
      <c r="E9" s="15">
        <f>81232849</f>
        <v>81232849</v>
      </c>
      <c r="F9" s="15">
        <f>80692146</f>
        <v>80692146</v>
      </c>
      <c r="G9" s="25">
        <f>82709450</f>
        <v>82709450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17" customFormat="1" ht="21" customHeight="1" x14ac:dyDescent="0.2">
      <c r="A10" s="217" t="s">
        <v>8</v>
      </c>
      <c r="B10" s="212" t="s">
        <v>9</v>
      </c>
      <c r="C10" s="14">
        <v>1336610</v>
      </c>
      <c r="D10" s="15">
        <v>655350</v>
      </c>
      <c r="E10" s="15">
        <v>52050</v>
      </c>
      <c r="F10" s="15">
        <f>32300</f>
        <v>32300</v>
      </c>
      <c r="G10" s="25">
        <f>0</f>
        <v>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ht="21" customHeight="1" x14ac:dyDescent="0.25">
      <c r="A11" s="217" t="s">
        <v>10</v>
      </c>
      <c r="B11" s="212" t="s">
        <v>11</v>
      </c>
      <c r="C11" s="14">
        <f>2825257</f>
        <v>2825257</v>
      </c>
      <c r="D11" s="15">
        <f>C11*102.5%+2200270+1000000+1235600</f>
        <v>7331758.4249999998</v>
      </c>
      <c r="E11" s="15">
        <v>6034647</v>
      </c>
      <c r="F11" s="15">
        <f>3685513</f>
        <v>3685513</v>
      </c>
      <c r="G11" s="25">
        <f>3168315</f>
        <v>3168315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17" customFormat="1" ht="21" customHeight="1" x14ac:dyDescent="0.2">
      <c r="A12" s="232" t="s">
        <v>12</v>
      </c>
      <c r="B12" s="212" t="s">
        <v>9</v>
      </c>
      <c r="C12" s="18">
        <v>1180257</v>
      </c>
      <c r="D12" s="15">
        <v>0</v>
      </c>
      <c r="E12" s="15">
        <v>0</v>
      </c>
      <c r="F12" s="15">
        <f>0</f>
        <v>0</v>
      </c>
      <c r="G12" s="25">
        <f>0</f>
        <v>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s="21" customFormat="1" ht="21" customHeight="1" thickBot="1" x14ac:dyDescent="0.25">
      <c r="A13" s="233" t="s">
        <v>13</v>
      </c>
      <c r="B13" s="222" t="s">
        <v>14</v>
      </c>
      <c r="C13" s="19">
        <f>1150000</f>
        <v>1150000</v>
      </c>
      <c r="D13" s="15">
        <v>10000</v>
      </c>
      <c r="E13" s="15">
        <v>200000</v>
      </c>
      <c r="F13" s="15">
        <f>200000</f>
        <v>200000</v>
      </c>
      <c r="G13" s="25">
        <f>200000</f>
        <v>200000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</row>
    <row r="14" spans="1:255" ht="21" customHeight="1" x14ac:dyDescent="0.25">
      <c r="A14" s="234">
        <v>2</v>
      </c>
      <c r="B14" s="211" t="s">
        <v>15</v>
      </c>
      <c r="C14" s="22">
        <f>77060613</f>
        <v>77060613</v>
      </c>
      <c r="D14" s="23">
        <f>71750004</f>
        <v>71750004</v>
      </c>
      <c r="E14" s="23">
        <f>71425004</f>
        <v>71425004</v>
      </c>
      <c r="F14" s="23">
        <f>80511314</f>
        <v>80511314</v>
      </c>
      <c r="G14" s="24">
        <f>82524097</f>
        <v>82524097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ht="21" customHeight="1" x14ac:dyDescent="0.25">
      <c r="A15" s="217" t="s">
        <v>6</v>
      </c>
      <c r="B15" s="212" t="s">
        <v>16</v>
      </c>
      <c r="C15" s="14">
        <f>49444516</f>
        <v>49444516</v>
      </c>
      <c r="D15" s="15">
        <f>49680629</f>
        <v>49680629</v>
      </c>
      <c r="E15" s="15">
        <f>50922645</f>
        <v>50922645</v>
      </c>
      <c r="F15" s="15">
        <f>52195711</f>
        <v>52195711</v>
      </c>
      <c r="G15" s="25">
        <f>53500604</f>
        <v>53500604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ht="21" customHeight="1" x14ac:dyDescent="0.25">
      <c r="A16" s="217" t="s">
        <v>8</v>
      </c>
      <c r="B16" s="212" t="s">
        <v>17</v>
      </c>
      <c r="C16" s="26">
        <f>8569809</f>
        <v>8569809</v>
      </c>
      <c r="D16" s="15">
        <f>8784054</f>
        <v>8784054</v>
      </c>
      <c r="E16" s="15">
        <f>9003656</f>
        <v>9003656</v>
      </c>
      <c r="F16" s="15">
        <f>9228747</f>
        <v>9228747</v>
      </c>
      <c r="G16" s="25">
        <f>9459466</f>
        <v>9459466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ht="21" customHeight="1" x14ac:dyDescent="0.25">
      <c r="A17" s="217" t="s">
        <v>10</v>
      </c>
      <c r="B17" s="212" t="s">
        <v>18</v>
      </c>
      <c r="C17" s="14">
        <v>0</v>
      </c>
      <c r="D17" s="15">
        <f>C17*102.5%</f>
        <v>0</v>
      </c>
      <c r="E17" s="15">
        <v>0</v>
      </c>
      <c r="F17" s="15">
        <f>0</f>
        <v>0</v>
      </c>
      <c r="G17" s="25">
        <f>0</f>
        <v>0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ht="20.25" customHeight="1" x14ac:dyDescent="0.25">
      <c r="A18" s="217" t="s">
        <v>12</v>
      </c>
      <c r="B18" s="212" t="s">
        <v>19</v>
      </c>
      <c r="C18" s="14">
        <v>0</v>
      </c>
      <c r="D18" s="15">
        <f>C18*102.5%</f>
        <v>0</v>
      </c>
      <c r="E18" s="15">
        <v>0</v>
      </c>
      <c r="F18" s="15">
        <f>0</f>
        <v>0</v>
      </c>
      <c r="G18" s="25">
        <f>0</f>
        <v>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21" customFormat="1" ht="21" customHeight="1" x14ac:dyDescent="0.2">
      <c r="A19" s="232" t="s">
        <v>13</v>
      </c>
      <c r="B19" s="223" t="s">
        <v>20</v>
      </c>
      <c r="C19" s="18">
        <f>2098782</f>
        <v>2098782</v>
      </c>
      <c r="D19" s="27">
        <f>1547700</f>
        <v>1547700</v>
      </c>
      <c r="E19" s="61">
        <v>783900</v>
      </c>
      <c r="F19" s="28">
        <f>908900</f>
        <v>908900</v>
      </c>
      <c r="G19" s="29">
        <f>923100</f>
        <v>923100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</row>
    <row r="20" spans="1:255" s="21" customFormat="1" ht="21" customHeight="1" thickBot="1" x14ac:dyDescent="0.25">
      <c r="A20" s="233" t="s">
        <v>21</v>
      </c>
      <c r="B20" s="222" t="s">
        <v>22</v>
      </c>
      <c r="C20" s="19">
        <v>1566382</v>
      </c>
      <c r="D20" s="52">
        <v>771000</v>
      </c>
      <c r="E20" s="30">
        <v>73000</v>
      </c>
      <c r="F20" s="31">
        <f>38000</f>
        <v>38000</v>
      </c>
      <c r="G20" s="32">
        <f>0</f>
        <v>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</row>
    <row r="21" spans="1:255" ht="21" customHeight="1" thickBot="1" x14ac:dyDescent="0.3">
      <c r="A21" s="235">
        <v>3</v>
      </c>
      <c r="B21" s="224" t="s">
        <v>23</v>
      </c>
      <c r="C21" s="159">
        <f>C33-C34-C37</f>
        <v>3123074</v>
      </c>
      <c r="D21" s="152">
        <f>D33-D34-D37</f>
        <v>15411635.424999997</v>
      </c>
      <c r="E21" s="33">
        <f>E33-E34-E37</f>
        <v>13872209</v>
      </c>
      <c r="F21" s="33">
        <f>F33-F34-F37</f>
        <v>2000000</v>
      </c>
      <c r="G21" s="193">
        <f>G33-G34-G37</f>
        <v>2015000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55" ht="21" customHeight="1" x14ac:dyDescent="0.25">
      <c r="A22" s="234">
        <v>4</v>
      </c>
      <c r="B22" s="211" t="s">
        <v>24</v>
      </c>
      <c r="C22" s="160">
        <f>3123074</f>
        <v>3123074</v>
      </c>
      <c r="D22" s="153">
        <f>15411635</f>
        <v>15411635</v>
      </c>
      <c r="E22" s="34">
        <f>13872209</f>
        <v>13872209</v>
      </c>
      <c r="F22" s="34">
        <f>2000000</f>
        <v>2000000</v>
      </c>
      <c r="G22" s="35">
        <f>2015000</f>
        <v>2015000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</row>
    <row r="23" spans="1:255" s="21" customFormat="1" ht="21" customHeight="1" x14ac:dyDescent="0.2">
      <c r="A23" s="217" t="s">
        <v>6</v>
      </c>
      <c r="B23" s="212" t="s">
        <v>25</v>
      </c>
      <c r="C23" s="14">
        <f>3004074</f>
        <v>3004074</v>
      </c>
      <c r="D23" s="154">
        <f>15411635</f>
        <v>15411635</v>
      </c>
      <c r="E23" s="36">
        <f>13872209</f>
        <v>13872209</v>
      </c>
      <c r="F23" s="36">
        <v>2000000</v>
      </c>
      <c r="G23" s="37">
        <v>2015000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pans="1:255" s="21" customFormat="1" ht="21" customHeight="1" thickBot="1" x14ac:dyDescent="0.25">
      <c r="A24" s="233" t="s">
        <v>8</v>
      </c>
      <c r="B24" s="222" t="s">
        <v>22</v>
      </c>
      <c r="C24" s="19">
        <v>1924293</v>
      </c>
      <c r="D24" s="155">
        <v>0</v>
      </c>
      <c r="E24" s="38">
        <v>0</v>
      </c>
      <c r="F24" s="38">
        <v>0</v>
      </c>
      <c r="G24" s="39">
        <v>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</row>
    <row r="25" spans="1:255" ht="21" customHeight="1" thickBot="1" x14ac:dyDescent="0.3">
      <c r="A25" s="236">
        <v>5</v>
      </c>
      <c r="B25" s="225" t="s">
        <v>26</v>
      </c>
      <c r="C25" s="40">
        <f>C22+C14</f>
        <v>80183687</v>
      </c>
      <c r="D25" s="156">
        <f>D22+D14</f>
        <v>87161639</v>
      </c>
      <c r="E25" s="91">
        <f>E22+E14</f>
        <v>85297213</v>
      </c>
      <c r="F25" s="41">
        <f>F22+F14</f>
        <v>82511314</v>
      </c>
      <c r="G25" s="194">
        <f>G22+G14</f>
        <v>84539097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</row>
    <row r="26" spans="1:255" ht="21" customHeight="1" thickBot="1" x14ac:dyDescent="0.3">
      <c r="A26" s="237">
        <v>6</v>
      </c>
      <c r="B26" s="226" t="s">
        <v>27</v>
      </c>
      <c r="C26" s="161">
        <f>C8-C25</f>
        <v>-39837</v>
      </c>
      <c r="D26" s="157">
        <f>D8-D25</f>
        <v>421679.42499999702</v>
      </c>
      <c r="E26" s="43">
        <f>E8-E25</f>
        <v>1970283</v>
      </c>
      <c r="F26" s="43">
        <f>F8-F25</f>
        <v>1866345</v>
      </c>
      <c r="G26" s="195">
        <f>G8-G25</f>
        <v>1338668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spans="1:255" ht="21" customHeight="1" x14ac:dyDescent="0.25">
      <c r="A27" s="234">
        <v>7</v>
      </c>
      <c r="B27" s="211" t="s">
        <v>28</v>
      </c>
      <c r="C27" s="45" t="s">
        <v>29</v>
      </c>
      <c r="D27" s="46" t="s">
        <v>29</v>
      </c>
      <c r="E27" s="92" t="s">
        <v>29</v>
      </c>
      <c r="F27" s="47" t="s">
        <v>29</v>
      </c>
      <c r="G27" s="196" t="s">
        <v>29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</row>
    <row r="28" spans="1:255" ht="21" customHeight="1" x14ac:dyDescent="0.25">
      <c r="A28" s="238">
        <v>8</v>
      </c>
      <c r="B28" s="213" t="s">
        <v>30</v>
      </c>
      <c r="C28" s="14">
        <f>2700000</f>
        <v>2700000</v>
      </c>
      <c r="D28" s="49">
        <f>1846903</f>
        <v>1846903</v>
      </c>
      <c r="E28" s="50">
        <v>0</v>
      </c>
      <c r="F28" s="51">
        <v>0</v>
      </c>
      <c r="G28" s="197">
        <v>0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ht="33.75" customHeight="1" x14ac:dyDescent="0.25">
      <c r="A29" s="217" t="s">
        <v>6</v>
      </c>
      <c r="B29" s="212" t="s">
        <v>31</v>
      </c>
      <c r="C29" s="14">
        <f>C28-C35</f>
        <v>39837</v>
      </c>
      <c r="D29" s="15">
        <v>0</v>
      </c>
      <c r="E29" s="50">
        <v>0</v>
      </c>
      <c r="F29" s="50">
        <v>0</v>
      </c>
      <c r="G29" s="198">
        <v>0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ht="21.75" customHeight="1" thickBot="1" x14ac:dyDescent="0.3">
      <c r="A30" s="219">
        <v>9</v>
      </c>
      <c r="B30" s="215" t="s">
        <v>32</v>
      </c>
      <c r="C30" s="19">
        <v>0</v>
      </c>
      <c r="D30" s="52">
        <v>0</v>
      </c>
      <c r="E30" s="30">
        <v>0</v>
      </c>
      <c r="F30" s="30">
        <v>0</v>
      </c>
      <c r="G30" s="199">
        <v>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ht="21.75" customHeight="1" thickBot="1" x14ac:dyDescent="0.3">
      <c r="A31" s="235">
        <v>10</v>
      </c>
      <c r="B31" s="224" t="s">
        <v>33</v>
      </c>
      <c r="C31" s="53">
        <v>0</v>
      </c>
      <c r="D31" s="54">
        <v>0</v>
      </c>
      <c r="E31" s="55">
        <v>0</v>
      </c>
      <c r="F31" s="55">
        <v>0</v>
      </c>
      <c r="G31" s="200">
        <v>0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ht="21.75" customHeight="1" thickBot="1" x14ac:dyDescent="0.3">
      <c r="A32" s="239">
        <v>11</v>
      </c>
      <c r="B32" s="227" t="s">
        <v>34</v>
      </c>
      <c r="C32" s="56">
        <f>C28+C30+C31</f>
        <v>2700000</v>
      </c>
      <c r="D32" s="57">
        <f>D28+D30+D31</f>
        <v>1846903</v>
      </c>
      <c r="E32" s="57">
        <f>E28+E30+E31</f>
        <v>0</v>
      </c>
      <c r="F32" s="57">
        <f>F28+F30+F31</f>
        <v>0</v>
      </c>
      <c r="G32" s="201">
        <f>G28+G30+G31</f>
        <v>0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</row>
    <row r="33" spans="1:255" ht="21.75" customHeight="1" x14ac:dyDescent="0.25">
      <c r="A33" s="240">
        <v>12</v>
      </c>
      <c r="B33" s="228" t="s">
        <v>35</v>
      </c>
      <c r="C33" s="162">
        <f>C8-C14+C36+C28+C30</f>
        <v>6283237</v>
      </c>
      <c r="D33" s="158">
        <f>(D8-(D14-D36))+D28+D30</f>
        <v>17980217.424999997</v>
      </c>
      <c r="E33" s="60">
        <f>(E8-(E14-E36))+E28+E30</f>
        <v>16092492</v>
      </c>
      <c r="F33" s="60">
        <f>(F8-(F14-F36))+F28+F30</f>
        <v>4016345</v>
      </c>
      <c r="G33" s="202">
        <f>(G8-(G14-G36))+G28+G30</f>
        <v>3453668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</row>
    <row r="34" spans="1:255" ht="21.75" customHeight="1" x14ac:dyDescent="0.25">
      <c r="A34" s="241">
        <v>13</v>
      </c>
      <c r="B34" s="213" t="s">
        <v>36</v>
      </c>
      <c r="C34" s="14">
        <f>C35+C36</f>
        <v>3160163</v>
      </c>
      <c r="D34" s="15">
        <f>D35+D36</f>
        <v>2568582</v>
      </c>
      <c r="E34" s="50">
        <f>E35+E36</f>
        <v>2220283</v>
      </c>
      <c r="F34" s="50">
        <f>F35+F36</f>
        <v>2016345</v>
      </c>
      <c r="G34" s="198">
        <f>G35+G36</f>
        <v>1438668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</row>
    <row r="35" spans="1:255" ht="21.75" customHeight="1" x14ac:dyDescent="0.25">
      <c r="A35" s="242" t="s">
        <v>6</v>
      </c>
      <c r="B35" s="212" t="s">
        <v>37</v>
      </c>
      <c r="C35" s="14">
        <f>2660163</f>
        <v>2660163</v>
      </c>
      <c r="D35" s="15">
        <v>2268582</v>
      </c>
      <c r="E35" s="50">
        <f>1970283</f>
        <v>1970283</v>
      </c>
      <c r="F35" s="50">
        <v>1866345</v>
      </c>
      <c r="G35" s="198">
        <v>1338668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</row>
    <row r="36" spans="1:255" ht="21.75" customHeight="1" x14ac:dyDescent="0.25">
      <c r="A36" s="242" t="s">
        <v>8</v>
      </c>
      <c r="B36" s="212" t="s">
        <v>38</v>
      </c>
      <c r="C36" s="14">
        <v>500000</v>
      </c>
      <c r="D36" s="15">
        <v>300000</v>
      </c>
      <c r="E36" s="50">
        <v>250000</v>
      </c>
      <c r="F36" s="50">
        <v>150000</v>
      </c>
      <c r="G36" s="198">
        <v>100000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</row>
    <row r="37" spans="1:255" ht="21.75" customHeight="1" thickBot="1" x14ac:dyDescent="0.3">
      <c r="A37" s="243">
        <v>14</v>
      </c>
      <c r="B37" s="229" t="s">
        <v>39</v>
      </c>
      <c r="C37" s="18">
        <v>0</v>
      </c>
      <c r="D37" s="27">
        <v>0</v>
      </c>
      <c r="E37" s="61">
        <v>0</v>
      </c>
      <c r="F37" s="61">
        <v>0</v>
      </c>
      <c r="G37" s="203">
        <v>0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</row>
    <row r="38" spans="1:255" ht="21.75" customHeight="1" thickBot="1" x14ac:dyDescent="0.3">
      <c r="A38" s="239">
        <v>15</v>
      </c>
      <c r="B38" s="227" t="s">
        <v>40</v>
      </c>
      <c r="C38" s="56">
        <f>C35+C37</f>
        <v>2660163</v>
      </c>
      <c r="D38" s="57">
        <f>D35+D37</f>
        <v>2268582</v>
      </c>
      <c r="E38" s="58">
        <f>E35+E37</f>
        <v>1970283</v>
      </c>
      <c r="F38" s="58">
        <f>F35+F37</f>
        <v>1866345</v>
      </c>
      <c r="G38" s="201">
        <f>G35+G37</f>
        <v>1338668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1:255" ht="21.75" customHeight="1" thickBot="1" x14ac:dyDescent="0.3">
      <c r="A39" s="244">
        <v>16</v>
      </c>
      <c r="B39" s="230" t="s">
        <v>41</v>
      </c>
      <c r="C39" s="62">
        <f>C21-C22+C31</f>
        <v>0</v>
      </c>
      <c r="D39" s="63">
        <f>D21-D22+D31</f>
        <v>0.42499999701976776</v>
      </c>
      <c r="E39" s="64">
        <f>E21-E22+E31</f>
        <v>0</v>
      </c>
      <c r="F39" s="64">
        <f>F21-F22+F31</f>
        <v>0</v>
      </c>
      <c r="G39" s="204">
        <f>G21-G22+G31</f>
        <v>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ht="17.25" customHeight="1" thickBot="1" x14ac:dyDescent="0.3">
      <c r="A40" s="251"/>
      <c r="B40" s="252"/>
      <c r="C40" s="252"/>
      <c r="D40" s="252"/>
      <c r="E40" s="252"/>
      <c r="F40" s="252"/>
      <c r="G40" s="25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ht="19.5" customHeight="1" x14ac:dyDescent="0.25">
      <c r="A41" s="216">
        <v>17</v>
      </c>
      <c r="B41" s="211" t="s">
        <v>42</v>
      </c>
      <c r="C41" s="65">
        <v>7443878</v>
      </c>
      <c r="D41" s="66">
        <v>5175296</v>
      </c>
      <c r="E41" s="67">
        <v>3205013</v>
      </c>
      <c r="F41" s="67">
        <v>1338668</v>
      </c>
      <c r="G41" s="205">
        <v>0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</row>
    <row r="42" spans="1:255" ht="21" customHeight="1" x14ac:dyDescent="0.25">
      <c r="A42" s="217" t="s">
        <v>6</v>
      </c>
      <c r="B42" s="212" t="s">
        <v>43</v>
      </c>
      <c r="C42" s="14">
        <v>4549912</v>
      </c>
      <c r="D42" s="49">
        <v>3273567</v>
      </c>
      <c r="E42" s="50">
        <v>1997222</v>
      </c>
      <c r="F42" s="51">
        <v>720877</v>
      </c>
      <c r="G42" s="197">
        <v>0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ht="33" customHeight="1" x14ac:dyDescent="0.25">
      <c r="A43" s="217" t="s">
        <v>8</v>
      </c>
      <c r="B43" s="212" t="s">
        <v>44</v>
      </c>
      <c r="C43" s="14">
        <v>1276345</v>
      </c>
      <c r="D43" s="49">
        <v>1276345</v>
      </c>
      <c r="E43" s="50">
        <v>1276345</v>
      </c>
      <c r="F43" s="51">
        <v>1276345</v>
      </c>
      <c r="G43" s="197">
        <v>720877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</row>
    <row r="44" spans="1:255" ht="33.75" customHeight="1" x14ac:dyDescent="0.25">
      <c r="A44" s="218">
        <v>18</v>
      </c>
      <c r="B44" s="213" t="s">
        <v>45</v>
      </c>
      <c r="C44" s="68" t="s">
        <v>46</v>
      </c>
      <c r="D44" s="69" t="s">
        <v>46</v>
      </c>
      <c r="E44" s="93" t="s">
        <v>46</v>
      </c>
      <c r="F44" s="70">
        <v>0</v>
      </c>
      <c r="G44" s="206">
        <v>0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</row>
    <row r="45" spans="1:255" ht="21.75" customHeight="1" x14ac:dyDescent="0.25">
      <c r="A45" s="218">
        <v>19</v>
      </c>
      <c r="B45" s="213" t="s">
        <v>47</v>
      </c>
      <c r="C45" s="71" t="s">
        <v>29</v>
      </c>
      <c r="D45" s="72" t="s">
        <v>29</v>
      </c>
      <c r="E45" s="94">
        <f>'Wlk. inform.'!H11</f>
        <v>2.5442267760266663E-2</v>
      </c>
      <c r="F45" s="94">
        <f>'Wlk. inform.'!I11</f>
        <v>2.3896669140820795E-2</v>
      </c>
      <c r="G45" s="245">
        <f>'Wlk. inform.'!J11</f>
        <v>1.6752508638295374E-2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</row>
    <row r="46" spans="1:255" ht="21.75" customHeight="1" x14ac:dyDescent="0.25">
      <c r="A46" s="218" t="s">
        <v>6</v>
      </c>
      <c r="B46" s="213" t="s">
        <v>48</v>
      </c>
      <c r="C46" s="71" t="s">
        <v>29</v>
      </c>
      <c r="D46" s="72" t="s">
        <v>29</v>
      </c>
      <c r="E46" s="94">
        <f>'Wlk. inform.'!H13</f>
        <v>2.6362908629329645E-2</v>
      </c>
      <c r="F46" s="94">
        <f>'Wlk. inform.'!I13</f>
        <v>7.6476881981277431E-2</v>
      </c>
      <c r="G46" s="245">
        <f>'Wlk. inform.'!J13</f>
        <v>7.2125302633369262E-2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</row>
    <row r="47" spans="1:255" ht="21.75" customHeight="1" x14ac:dyDescent="0.25">
      <c r="A47" s="218">
        <v>20</v>
      </c>
      <c r="B47" s="214" t="s">
        <v>49</v>
      </c>
      <c r="C47" s="73" t="s">
        <v>29</v>
      </c>
      <c r="D47" s="74" t="s">
        <v>29</v>
      </c>
      <c r="E47" s="94" t="s">
        <v>50</v>
      </c>
      <c r="F47" s="74" t="s">
        <v>50</v>
      </c>
      <c r="G47" s="207" t="s">
        <v>50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</row>
    <row r="48" spans="1:255" ht="21.75" customHeight="1" x14ac:dyDescent="0.25">
      <c r="A48" s="218">
        <v>21</v>
      </c>
      <c r="B48" s="213" t="s">
        <v>51</v>
      </c>
      <c r="C48" s="73">
        <f>C34/C8</f>
        <v>3.9431135389677435E-2</v>
      </c>
      <c r="D48" s="75">
        <f>D34/D8</f>
        <v>2.9327297094817746E-2</v>
      </c>
      <c r="E48" s="76" t="s">
        <v>29</v>
      </c>
      <c r="F48" s="76" t="s">
        <v>29</v>
      </c>
      <c r="G48" s="208" t="s">
        <v>29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</row>
    <row r="49" spans="1:255" ht="21.75" customHeight="1" thickBot="1" x14ac:dyDescent="0.3">
      <c r="A49" s="219">
        <v>22</v>
      </c>
      <c r="B49" s="215" t="s">
        <v>52</v>
      </c>
      <c r="C49" s="77">
        <f>(C41-C42)/C8</f>
        <v>3.6109645343965879E-2</v>
      </c>
      <c r="D49" s="78">
        <f>(D41-D42)/D8</f>
        <v>2.1713370013817217E-2</v>
      </c>
      <c r="E49" s="209" t="s">
        <v>29</v>
      </c>
      <c r="F49" s="79" t="s">
        <v>29</v>
      </c>
      <c r="G49" s="210" t="s">
        <v>29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</row>
    <row r="50" spans="1:255" ht="16.5" thickBot="1" x14ac:dyDescent="0.3">
      <c r="A50" s="253"/>
      <c r="B50" s="254"/>
      <c r="C50" s="254"/>
      <c r="D50" s="254"/>
      <c r="E50" s="254"/>
      <c r="F50" s="254"/>
      <c r="G50" s="254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</row>
    <row r="51" spans="1:255" ht="18" customHeight="1" thickBot="1" x14ac:dyDescent="0.3">
      <c r="A51" s="9" t="s">
        <v>3</v>
      </c>
      <c r="B51" s="80" t="s">
        <v>4</v>
      </c>
      <c r="C51" s="9">
        <v>2012</v>
      </c>
      <c r="D51" s="80">
        <v>2013</v>
      </c>
      <c r="E51" s="80">
        <v>2014</v>
      </c>
      <c r="F51" s="80">
        <v>2015</v>
      </c>
      <c r="G51" s="80">
        <v>2016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</row>
    <row r="52" spans="1:255" ht="33.75" customHeight="1" x14ac:dyDescent="0.25">
      <c r="A52" s="81">
        <v>1</v>
      </c>
      <c r="B52" s="82" t="s">
        <v>53</v>
      </c>
      <c r="C52" s="83">
        <f>'Wlk. inform.'!F12</f>
        <v>1.7568160251847147E-2</v>
      </c>
      <c r="D52" s="83">
        <f>'Wlk. inform.'!G12</f>
        <v>9.7182387617439719E-2</v>
      </c>
      <c r="E52" s="83">
        <f>'Wlk. inform.'!H12</f>
        <v>0.11468009807454542</v>
      </c>
      <c r="F52" s="83">
        <f>'Wlk. inform.'!I12</f>
        <v>4.5134222081226498E-3</v>
      </c>
      <c r="G52" s="247">
        <f>'Wlk. inform.'!J12</f>
        <v>4.4872266994838532E-3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</row>
    <row r="53" spans="1:255" ht="21.75" customHeight="1" x14ac:dyDescent="0.25">
      <c r="A53" s="84">
        <v>2</v>
      </c>
      <c r="B53" s="95" t="s">
        <v>55</v>
      </c>
      <c r="C53" s="96">
        <f>'Wlk. inform.'!F13</f>
        <v>1.0025784488198164E-2</v>
      </c>
      <c r="D53" s="96">
        <f>'Wlk. inform.'!G13</f>
        <v>-4.2813083082409295E-3</v>
      </c>
      <c r="E53" s="96">
        <f>'Wlk. inform.'!H13</f>
        <v>2.6362908629329645E-2</v>
      </c>
      <c r="F53" s="96">
        <f>'Wlk. inform.'!I13</f>
        <v>7.6476881981277431E-2</v>
      </c>
      <c r="G53" s="248">
        <f>'Wlk. inform.'!J13</f>
        <v>7.2125302633369262E-2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</row>
    <row r="54" spans="1:255" ht="21.75" customHeight="1" x14ac:dyDescent="0.25">
      <c r="A54" s="84">
        <v>3</v>
      </c>
      <c r="B54" s="95" t="s">
        <v>56</v>
      </c>
      <c r="C54" s="96">
        <f>'Wlk. inform.'!F11</f>
        <v>3.9431135389677435E-2</v>
      </c>
      <c r="D54" s="96">
        <f>'Wlk. inform.'!G11</f>
        <v>2.9327297094817746E-2</v>
      </c>
      <c r="E54" s="96">
        <f>'Wlk. inform.'!H11</f>
        <v>2.5442267760266663E-2</v>
      </c>
      <c r="F54" s="96">
        <f>'Wlk. inform.'!I11</f>
        <v>2.3896669140820795E-2</v>
      </c>
      <c r="G54" s="248">
        <f>'Wlk. inform.'!J11</f>
        <v>1.6752508638295374E-2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</row>
    <row r="55" spans="1:255" ht="21.75" customHeight="1" thickBot="1" x14ac:dyDescent="0.3">
      <c r="A55" s="85">
        <v>4</v>
      </c>
      <c r="B55" s="86" t="s">
        <v>54</v>
      </c>
      <c r="C55" s="87" t="b">
        <f>C54&lt;=C53</f>
        <v>0</v>
      </c>
      <c r="D55" s="88" t="b">
        <f>D54&lt;=D53</f>
        <v>0</v>
      </c>
      <c r="E55" s="97" t="b">
        <f>E54&lt;=E53</f>
        <v>1</v>
      </c>
      <c r="F55" s="88" t="b">
        <f>F54&lt;=F53</f>
        <v>1</v>
      </c>
      <c r="G55" s="88" t="b">
        <f>G54&lt;=G53</f>
        <v>1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ht="15.75" x14ac:dyDescent="0.25">
      <c r="A56" s="89"/>
      <c r="B56" s="89"/>
      <c r="C56" s="90"/>
      <c r="D56" s="90"/>
      <c r="E56" s="89"/>
      <c r="F56" s="89"/>
      <c r="G56" s="89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</sheetData>
  <mergeCells count="3">
    <mergeCell ref="A5:G5"/>
    <mergeCell ref="A40:G40"/>
    <mergeCell ref="A50:G50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9" orientation="landscape" r:id="rId1"/>
  <headerFooter>
    <oddFooter>Strona &amp;P</oddFooter>
  </headerFooter>
  <rowBreaks count="1" manualBreakCount="1">
    <brk id="3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"/>
  <sheetViews>
    <sheetView workbookViewId="0">
      <selection activeCell="J6" sqref="J6"/>
    </sheetView>
  </sheetViews>
  <sheetFormatPr defaultRowHeight="15" x14ac:dyDescent="0.25"/>
  <cols>
    <col min="1" max="1" width="23.7109375" customWidth="1"/>
    <col min="2" max="2" width="12.7109375" customWidth="1"/>
    <col min="3" max="5" width="14.140625" bestFit="1" customWidth="1"/>
    <col min="6" max="10" width="12.140625" customWidth="1"/>
    <col min="257" max="257" width="32.5703125" customWidth="1"/>
    <col min="258" max="258" width="12.7109375" customWidth="1"/>
    <col min="259" max="261" width="14.140625" bestFit="1" customWidth="1"/>
    <col min="262" max="266" width="12.140625" customWidth="1"/>
    <col min="513" max="513" width="32.5703125" customWidth="1"/>
    <col min="514" max="514" width="12.7109375" customWidth="1"/>
    <col min="515" max="517" width="14.140625" bestFit="1" customWidth="1"/>
    <col min="518" max="522" width="12.140625" customWidth="1"/>
    <col min="769" max="769" width="32.5703125" customWidth="1"/>
    <col min="770" max="770" width="12.7109375" customWidth="1"/>
    <col min="771" max="773" width="14.140625" bestFit="1" customWidth="1"/>
    <col min="774" max="778" width="12.140625" customWidth="1"/>
    <col min="1025" max="1025" width="32.5703125" customWidth="1"/>
    <col min="1026" max="1026" width="12.7109375" customWidth="1"/>
    <col min="1027" max="1029" width="14.140625" bestFit="1" customWidth="1"/>
    <col min="1030" max="1034" width="12.140625" customWidth="1"/>
    <col min="1281" max="1281" width="32.5703125" customWidth="1"/>
    <col min="1282" max="1282" width="12.7109375" customWidth="1"/>
    <col min="1283" max="1285" width="14.140625" bestFit="1" customWidth="1"/>
    <col min="1286" max="1290" width="12.140625" customWidth="1"/>
    <col min="1537" max="1537" width="32.5703125" customWidth="1"/>
    <col min="1538" max="1538" width="12.7109375" customWidth="1"/>
    <col min="1539" max="1541" width="14.140625" bestFit="1" customWidth="1"/>
    <col min="1542" max="1546" width="12.140625" customWidth="1"/>
    <col min="1793" max="1793" width="32.5703125" customWidth="1"/>
    <col min="1794" max="1794" width="12.7109375" customWidth="1"/>
    <col min="1795" max="1797" width="14.140625" bestFit="1" customWidth="1"/>
    <col min="1798" max="1802" width="12.140625" customWidth="1"/>
    <col min="2049" max="2049" width="32.5703125" customWidth="1"/>
    <col min="2050" max="2050" width="12.7109375" customWidth="1"/>
    <col min="2051" max="2053" width="14.140625" bestFit="1" customWidth="1"/>
    <col min="2054" max="2058" width="12.140625" customWidth="1"/>
    <col min="2305" max="2305" width="32.5703125" customWidth="1"/>
    <col min="2306" max="2306" width="12.7109375" customWidth="1"/>
    <col min="2307" max="2309" width="14.140625" bestFit="1" customWidth="1"/>
    <col min="2310" max="2314" width="12.140625" customWidth="1"/>
    <col min="2561" max="2561" width="32.5703125" customWidth="1"/>
    <col min="2562" max="2562" width="12.7109375" customWidth="1"/>
    <col min="2563" max="2565" width="14.140625" bestFit="1" customWidth="1"/>
    <col min="2566" max="2570" width="12.140625" customWidth="1"/>
    <col min="2817" max="2817" width="32.5703125" customWidth="1"/>
    <col min="2818" max="2818" width="12.7109375" customWidth="1"/>
    <col min="2819" max="2821" width="14.140625" bestFit="1" customWidth="1"/>
    <col min="2822" max="2826" width="12.140625" customWidth="1"/>
    <col min="3073" max="3073" width="32.5703125" customWidth="1"/>
    <col min="3074" max="3074" width="12.7109375" customWidth="1"/>
    <col min="3075" max="3077" width="14.140625" bestFit="1" customWidth="1"/>
    <col min="3078" max="3082" width="12.140625" customWidth="1"/>
    <col min="3329" max="3329" width="32.5703125" customWidth="1"/>
    <col min="3330" max="3330" width="12.7109375" customWidth="1"/>
    <col min="3331" max="3333" width="14.140625" bestFit="1" customWidth="1"/>
    <col min="3334" max="3338" width="12.140625" customWidth="1"/>
    <col min="3585" max="3585" width="32.5703125" customWidth="1"/>
    <col min="3586" max="3586" width="12.7109375" customWidth="1"/>
    <col min="3587" max="3589" width="14.140625" bestFit="1" customWidth="1"/>
    <col min="3590" max="3594" width="12.140625" customWidth="1"/>
    <col min="3841" max="3841" width="32.5703125" customWidth="1"/>
    <col min="3842" max="3842" width="12.7109375" customWidth="1"/>
    <col min="3843" max="3845" width="14.140625" bestFit="1" customWidth="1"/>
    <col min="3846" max="3850" width="12.140625" customWidth="1"/>
    <col min="4097" max="4097" width="32.5703125" customWidth="1"/>
    <col min="4098" max="4098" width="12.7109375" customWidth="1"/>
    <col min="4099" max="4101" width="14.140625" bestFit="1" customWidth="1"/>
    <col min="4102" max="4106" width="12.140625" customWidth="1"/>
    <col min="4353" max="4353" width="32.5703125" customWidth="1"/>
    <col min="4354" max="4354" width="12.7109375" customWidth="1"/>
    <col min="4355" max="4357" width="14.140625" bestFit="1" customWidth="1"/>
    <col min="4358" max="4362" width="12.140625" customWidth="1"/>
    <col min="4609" max="4609" width="32.5703125" customWidth="1"/>
    <col min="4610" max="4610" width="12.7109375" customWidth="1"/>
    <col min="4611" max="4613" width="14.140625" bestFit="1" customWidth="1"/>
    <col min="4614" max="4618" width="12.140625" customWidth="1"/>
    <col min="4865" max="4865" width="32.5703125" customWidth="1"/>
    <col min="4866" max="4866" width="12.7109375" customWidth="1"/>
    <col min="4867" max="4869" width="14.140625" bestFit="1" customWidth="1"/>
    <col min="4870" max="4874" width="12.140625" customWidth="1"/>
    <col min="5121" max="5121" width="32.5703125" customWidth="1"/>
    <col min="5122" max="5122" width="12.7109375" customWidth="1"/>
    <col min="5123" max="5125" width="14.140625" bestFit="1" customWidth="1"/>
    <col min="5126" max="5130" width="12.140625" customWidth="1"/>
    <col min="5377" max="5377" width="32.5703125" customWidth="1"/>
    <col min="5378" max="5378" width="12.7109375" customWidth="1"/>
    <col min="5379" max="5381" width="14.140625" bestFit="1" customWidth="1"/>
    <col min="5382" max="5386" width="12.140625" customWidth="1"/>
    <col min="5633" max="5633" width="32.5703125" customWidth="1"/>
    <col min="5634" max="5634" width="12.7109375" customWidth="1"/>
    <col min="5635" max="5637" width="14.140625" bestFit="1" customWidth="1"/>
    <col min="5638" max="5642" width="12.140625" customWidth="1"/>
    <col min="5889" max="5889" width="32.5703125" customWidth="1"/>
    <col min="5890" max="5890" width="12.7109375" customWidth="1"/>
    <col min="5891" max="5893" width="14.140625" bestFit="1" customWidth="1"/>
    <col min="5894" max="5898" width="12.140625" customWidth="1"/>
    <col min="6145" max="6145" width="32.5703125" customWidth="1"/>
    <col min="6146" max="6146" width="12.7109375" customWidth="1"/>
    <col min="6147" max="6149" width="14.140625" bestFit="1" customWidth="1"/>
    <col min="6150" max="6154" width="12.140625" customWidth="1"/>
    <col min="6401" max="6401" width="32.5703125" customWidth="1"/>
    <col min="6402" max="6402" width="12.7109375" customWidth="1"/>
    <col min="6403" max="6405" width="14.140625" bestFit="1" customWidth="1"/>
    <col min="6406" max="6410" width="12.140625" customWidth="1"/>
    <col min="6657" max="6657" width="32.5703125" customWidth="1"/>
    <col min="6658" max="6658" width="12.7109375" customWidth="1"/>
    <col min="6659" max="6661" width="14.140625" bestFit="1" customWidth="1"/>
    <col min="6662" max="6666" width="12.140625" customWidth="1"/>
    <col min="6913" max="6913" width="32.5703125" customWidth="1"/>
    <col min="6914" max="6914" width="12.7109375" customWidth="1"/>
    <col min="6915" max="6917" width="14.140625" bestFit="1" customWidth="1"/>
    <col min="6918" max="6922" width="12.140625" customWidth="1"/>
    <col min="7169" max="7169" width="32.5703125" customWidth="1"/>
    <col min="7170" max="7170" width="12.7109375" customWidth="1"/>
    <col min="7171" max="7173" width="14.140625" bestFit="1" customWidth="1"/>
    <col min="7174" max="7178" width="12.140625" customWidth="1"/>
    <col min="7425" max="7425" width="32.5703125" customWidth="1"/>
    <col min="7426" max="7426" width="12.7109375" customWidth="1"/>
    <col min="7427" max="7429" width="14.140625" bestFit="1" customWidth="1"/>
    <col min="7430" max="7434" width="12.140625" customWidth="1"/>
    <col min="7681" max="7681" width="32.5703125" customWidth="1"/>
    <col min="7682" max="7682" width="12.7109375" customWidth="1"/>
    <col min="7683" max="7685" width="14.140625" bestFit="1" customWidth="1"/>
    <col min="7686" max="7690" width="12.140625" customWidth="1"/>
    <col min="7937" max="7937" width="32.5703125" customWidth="1"/>
    <col min="7938" max="7938" width="12.7109375" customWidth="1"/>
    <col min="7939" max="7941" width="14.140625" bestFit="1" customWidth="1"/>
    <col min="7942" max="7946" width="12.140625" customWidth="1"/>
    <col min="8193" max="8193" width="32.5703125" customWidth="1"/>
    <col min="8194" max="8194" width="12.7109375" customWidth="1"/>
    <col min="8195" max="8197" width="14.140625" bestFit="1" customWidth="1"/>
    <col min="8198" max="8202" width="12.140625" customWidth="1"/>
    <col min="8449" max="8449" width="32.5703125" customWidth="1"/>
    <col min="8450" max="8450" width="12.7109375" customWidth="1"/>
    <col min="8451" max="8453" width="14.140625" bestFit="1" customWidth="1"/>
    <col min="8454" max="8458" width="12.140625" customWidth="1"/>
    <col min="8705" max="8705" width="32.5703125" customWidth="1"/>
    <col min="8706" max="8706" width="12.7109375" customWidth="1"/>
    <col min="8707" max="8709" width="14.140625" bestFit="1" customWidth="1"/>
    <col min="8710" max="8714" width="12.140625" customWidth="1"/>
    <col min="8961" max="8961" width="32.5703125" customWidth="1"/>
    <col min="8962" max="8962" width="12.7109375" customWidth="1"/>
    <col min="8963" max="8965" width="14.140625" bestFit="1" customWidth="1"/>
    <col min="8966" max="8970" width="12.140625" customWidth="1"/>
    <col min="9217" max="9217" width="32.5703125" customWidth="1"/>
    <col min="9218" max="9218" width="12.7109375" customWidth="1"/>
    <col min="9219" max="9221" width="14.140625" bestFit="1" customWidth="1"/>
    <col min="9222" max="9226" width="12.140625" customWidth="1"/>
    <col min="9473" max="9473" width="32.5703125" customWidth="1"/>
    <col min="9474" max="9474" width="12.7109375" customWidth="1"/>
    <col min="9475" max="9477" width="14.140625" bestFit="1" customWidth="1"/>
    <col min="9478" max="9482" width="12.140625" customWidth="1"/>
    <col min="9729" max="9729" width="32.5703125" customWidth="1"/>
    <col min="9730" max="9730" width="12.7109375" customWidth="1"/>
    <col min="9731" max="9733" width="14.140625" bestFit="1" customWidth="1"/>
    <col min="9734" max="9738" width="12.140625" customWidth="1"/>
    <col min="9985" max="9985" width="32.5703125" customWidth="1"/>
    <col min="9986" max="9986" width="12.7109375" customWidth="1"/>
    <col min="9987" max="9989" width="14.140625" bestFit="1" customWidth="1"/>
    <col min="9990" max="9994" width="12.140625" customWidth="1"/>
    <col min="10241" max="10241" width="32.5703125" customWidth="1"/>
    <col min="10242" max="10242" width="12.7109375" customWidth="1"/>
    <col min="10243" max="10245" width="14.140625" bestFit="1" customWidth="1"/>
    <col min="10246" max="10250" width="12.140625" customWidth="1"/>
    <col min="10497" max="10497" width="32.5703125" customWidth="1"/>
    <col min="10498" max="10498" width="12.7109375" customWidth="1"/>
    <col min="10499" max="10501" width="14.140625" bestFit="1" customWidth="1"/>
    <col min="10502" max="10506" width="12.140625" customWidth="1"/>
    <col min="10753" max="10753" width="32.5703125" customWidth="1"/>
    <col min="10754" max="10754" width="12.7109375" customWidth="1"/>
    <col min="10755" max="10757" width="14.140625" bestFit="1" customWidth="1"/>
    <col min="10758" max="10762" width="12.140625" customWidth="1"/>
    <col min="11009" max="11009" width="32.5703125" customWidth="1"/>
    <col min="11010" max="11010" width="12.7109375" customWidth="1"/>
    <col min="11011" max="11013" width="14.140625" bestFit="1" customWidth="1"/>
    <col min="11014" max="11018" width="12.140625" customWidth="1"/>
    <col min="11265" max="11265" width="32.5703125" customWidth="1"/>
    <col min="11266" max="11266" width="12.7109375" customWidth="1"/>
    <col min="11267" max="11269" width="14.140625" bestFit="1" customWidth="1"/>
    <col min="11270" max="11274" width="12.140625" customWidth="1"/>
    <col min="11521" max="11521" width="32.5703125" customWidth="1"/>
    <col min="11522" max="11522" width="12.7109375" customWidth="1"/>
    <col min="11523" max="11525" width="14.140625" bestFit="1" customWidth="1"/>
    <col min="11526" max="11530" width="12.140625" customWidth="1"/>
    <col min="11777" max="11777" width="32.5703125" customWidth="1"/>
    <col min="11778" max="11778" width="12.7109375" customWidth="1"/>
    <col min="11779" max="11781" width="14.140625" bestFit="1" customWidth="1"/>
    <col min="11782" max="11786" width="12.140625" customWidth="1"/>
    <col min="12033" max="12033" width="32.5703125" customWidth="1"/>
    <col min="12034" max="12034" width="12.7109375" customWidth="1"/>
    <col min="12035" max="12037" width="14.140625" bestFit="1" customWidth="1"/>
    <col min="12038" max="12042" width="12.140625" customWidth="1"/>
    <col min="12289" max="12289" width="32.5703125" customWidth="1"/>
    <col min="12290" max="12290" width="12.7109375" customWidth="1"/>
    <col min="12291" max="12293" width="14.140625" bestFit="1" customWidth="1"/>
    <col min="12294" max="12298" width="12.140625" customWidth="1"/>
    <col min="12545" max="12545" width="32.5703125" customWidth="1"/>
    <col min="12546" max="12546" width="12.7109375" customWidth="1"/>
    <col min="12547" max="12549" width="14.140625" bestFit="1" customWidth="1"/>
    <col min="12550" max="12554" width="12.140625" customWidth="1"/>
    <col min="12801" max="12801" width="32.5703125" customWidth="1"/>
    <col min="12802" max="12802" width="12.7109375" customWidth="1"/>
    <col min="12803" max="12805" width="14.140625" bestFit="1" customWidth="1"/>
    <col min="12806" max="12810" width="12.140625" customWidth="1"/>
    <col min="13057" max="13057" width="32.5703125" customWidth="1"/>
    <col min="13058" max="13058" width="12.7109375" customWidth="1"/>
    <col min="13059" max="13061" width="14.140625" bestFit="1" customWidth="1"/>
    <col min="13062" max="13066" width="12.140625" customWidth="1"/>
    <col min="13313" max="13313" width="32.5703125" customWidth="1"/>
    <col min="13314" max="13314" width="12.7109375" customWidth="1"/>
    <col min="13315" max="13317" width="14.140625" bestFit="1" customWidth="1"/>
    <col min="13318" max="13322" width="12.140625" customWidth="1"/>
    <col min="13569" max="13569" width="32.5703125" customWidth="1"/>
    <col min="13570" max="13570" width="12.7109375" customWidth="1"/>
    <col min="13571" max="13573" width="14.140625" bestFit="1" customWidth="1"/>
    <col min="13574" max="13578" width="12.140625" customWidth="1"/>
    <col min="13825" max="13825" width="32.5703125" customWidth="1"/>
    <col min="13826" max="13826" width="12.7109375" customWidth="1"/>
    <col min="13827" max="13829" width="14.140625" bestFit="1" customWidth="1"/>
    <col min="13830" max="13834" width="12.140625" customWidth="1"/>
    <col min="14081" max="14081" width="32.5703125" customWidth="1"/>
    <col min="14082" max="14082" width="12.7109375" customWidth="1"/>
    <col min="14083" max="14085" width="14.140625" bestFit="1" customWidth="1"/>
    <col min="14086" max="14090" width="12.140625" customWidth="1"/>
    <col min="14337" max="14337" width="32.5703125" customWidth="1"/>
    <col min="14338" max="14338" width="12.7109375" customWidth="1"/>
    <col min="14339" max="14341" width="14.140625" bestFit="1" customWidth="1"/>
    <col min="14342" max="14346" width="12.140625" customWidth="1"/>
    <col min="14593" max="14593" width="32.5703125" customWidth="1"/>
    <col min="14594" max="14594" width="12.7109375" customWidth="1"/>
    <col min="14595" max="14597" width="14.140625" bestFit="1" customWidth="1"/>
    <col min="14598" max="14602" width="12.140625" customWidth="1"/>
    <col min="14849" max="14849" width="32.5703125" customWidth="1"/>
    <col min="14850" max="14850" width="12.7109375" customWidth="1"/>
    <col min="14851" max="14853" width="14.140625" bestFit="1" customWidth="1"/>
    <col min="14854" max="14858" width="12.140625" customWidth="1"/>
    <col min="15105" max="15105" width="32.5703125" customWidth="1"/>
    <col min="15106" max="15106" width="12.7109375" customWidth="1"/>
    <col min="15107" max="15109" width="14.140625" bestFit="1" customWidth="1"/>
    <col min="15110" max="15114" width="12.140625" customWidth="1"/>
    <col min="15361" max="15361" width="32.5703125" customWidth="1"/>
    <col min="15362" max="15362" width="12.7109375" customWidth="1"/>
    <col min="15363" max="15365" width="14.140625" bestFit="1" customWidth="1"/>
    <col min="15366" max="15370" width="12.140625" customWidth="1"/>
    <col min="15617" max="15617" width="32.5703125" customWidth="1"/>
    <col min="15618" max="15618" width="12.7109375" customWidth="1"/>
    <col min="15619" max="15621" width="14.140625" bestFit="1" customWidth="1"/>
    <col min="15622" max="15626" width="12.140625" customWidth="1"/>
    <col min="15873" max="15873" width="32.5703125" customWidth="1"/>
    <col min="15874" max="15874" width="12.7109375" customWidth="1"/>
    <col min="15875" max="15877" width="14.140625" bestFit="1" customWidth="1"/>
    <col min="15878" max="15882" width="12.140625" customWidth="1"/>
    <col min="16129" max="16129" width="32.5703125" customWidth="1"/>
    <col min="16130" max="16130" width="12.7109375" customWidth="1"/>
    <col min="16131" max="16133" width="14.140625" bestFit="1" customWidth="1"/>
    <col min="16134" max="16138" width="12.140625" customWidth="1"/>
  </cols>
  <sheetData>
    <row r="1" spans="1:10" ht="15.75" thickBot="1" x14ac:dyDescent="0.3">
      <c r="A1" s="98" t="s">
        <v>4</v>
      </c>
      <c r="B1" s="99">
        <v>2008</v>
      </c>
      <c r="C1" s="99">
        <v>2009</v>
      </c>
      <c r="D1" s="100">
        <v>2010</v>
      </c>
      <c r="E1" s="101" t="s">
        <v>57</v>
      </c>
      <c r="F1" s="102">
        <v>2012</v>
      </c>
      <c r="G1" s="103">
        <v>2013</v>
      </c>
      <c r="H1" s="104">
        <v>2014</v>
      </c>
      <c r="I1" s="180">
        <v>2015</v>
      </c>
      <c r="J1" s="123">
        <v>2016</v>
      </c>
    </row>
    <row r="2" spans="1:10" x14ac:dyDescent="0.25">
      <c r="A2" s="105" t="s">
        <v>58</v>
      </c>
      <c r="B2" s="106">
        <v>68683386.069999993</v>
      </c>
      <c r="C2" s="106">
        <v>78348180.340000004</v>
      </c>
      <c r="D2" s="106">
        <v>86225359.959999993</v>
      </c>
      <c r="E2" s="166">
        <v>79275707</v>
      </c>
      <c r="F2" s="170">
        <f>WPF!C9</f>
        <v>77318593</v>
      </c>
      <c r="G2" s="170">
        <f>WPF!D9</f>
        <v>80251560</v>
      </c>
      <c r="H2" s="175">
        <f>WPF!E9</f>
        <v>81232849</v>
      </c>
      <c r="I2" s="181">
        <f>WPF!F9</f>
        <v>80692146</v>
      </c>
      <c r="J2" s="186">
        <f>WPF!G9</f>
        <v>82709450</v>
      </c>
    </row>
    <row r="3" spans="1:10" ht="33" customHeight="1" x14ac:dyDescent="0.25">
      <c r="A3" s="107" t="s">
        <v>59</v>
      </c>
      <c r="B3" s="108">
        <v>439633.19</v>
      </c>
      <c r="C3" s="109">
        <v>96901.37</v>
      </c>
      <c r="D3" s="108">
        <v>680981.89</v>
      </c>
      <c r="E3" s="167">
        <v>212300</v>
      </c>
      <c r="F3" s="171">
        <f>WPF!C13</f>
        <v>1150000</v>
      </c>
      <c r="G3" s="171">
        <f>WPF!D13</f>
        <v>10000</v>
      </c>
      <c r="H3" s="176">
        <f>WPF!E13</f>
        <v>200000</v>
      </c>
      <c r="I3" s="182">
        <f>WPF!F13</f>
        <v>200000</v>
      </c>
      <c r="J3" s="171">
        <f>WPF!G13</f>
        <v>200000</v>
      </c>
    </row>
    <row r="4" spans="1:10" x14ac:dyDescent="0.25">
      <c r="A4" s="110" t="s">
        <v>60</v>
      </c>
      <c r="B4" s="109">
        <v>68248159.010000005</v>
      </c>
      <c r="C4" s="109">
        <v>73561741.829999998</v>
      </c>
      <c r="D4" s="109">
        <v>86424238.409999996</v>
      </c>
      <c r="E4" s="167">
        <v>82661627</v>
      </c>
      <c r="F4" s="171">
        <f>WPF!C14</f>
        <v>77060613</v>
      </c>
      <c r="G4" s="171">
        <f>WPF!D14</f>
        <v>71750004</v>
      </c>
      <c r="H4" s="176">
        <f>WPF!E14</f>
        <v>71425004</v>
      </c>
      <c r="I4" s="182">
        <f>WPF!F14</f>
        <v>80511314</v>
      </c>
      <c r="J4" s="171">
        <f>WPF!G14</f>
        <v>82524097</v>
      </c>
    </row>
    <row r="5" spans="1:10" x14ac:dyDescent="0.25">
      <c r="A5" s="110" t="s">
        <v>61</v>
      </c>
      <c r="B5" s="108">
        <v>71057227.480000004</v>
      </c>
      <c r="C5" s="109">
        <v>80730454.599999994</v>
      </c>
      <c r="D5" s="108">
        <v>91833830.519999996</v>
      </c>
      <c r="E5" s="167">
        <v>88992088</v>
      </c>
      <c r="F5" s="171">
        <f>WPF!C8</f>
        <v>80143850</v>
      </c>
      <c r="G5" s="171">
        <f>WPF!D8</f>
        <v>87583318.424999997</v>
      </c>
      <c r="H5" s="176">
        <f>WPF!E8</f>
        <v>87267496</v>
      </c>
      <c r="I5" s="182">
        <f>WPF!F8</f>
        <v>84377659</v>
      </c>
      <c r="J5" s="171">
        <f>WPF!G8</f>
        <v>85877765</v>
      </c>
    </row>
    <row r="6" spans="1:10" ht="51" x14ac:dyDescent="0.25">
      <c r="A6" s="111" t="s">
        <v>62</v>
      </c>
      <c r="B6" s="112">
        <v>999581.65</v>
      </c>
      <c r="C6" s="113">
        <v>973316</v>
      </c>
      <c r="D6" s="112">
        <v>1336906</v>
      </c>
      <c r="E6" s="167">
        <v>1575349</v>
      </c>
      <c r="F6" s="172">
        <f>WPF!C35</f>
        <v>2660163</v>
      </c>
      <c r="G6" s="172">
        <f>WPF!D35</f>
        <v>2268582</v>
      </c>
      <c r="H6" s="177">
        <f>WPF!E35</f>
        <v>1970283</v>
      </c>
      <c r="I6" s="183">
        <f>WPF!F35</f>
        <v>1866345</v>
      </c>
      <c r="J6" s="172">
        <f>WPF!G35</f>
        <v>1338668</v>
      </c>
    </row>
    <row r="7" spans="1:10" ht="30.75" thickBot="1" x14ac:dyDescent="0.3">
      <c r="A7" s="114" t="s">
        <v>63</v>
      </c>
      <c r="B7" s="115">
        <v>192156.68</v>
      </c>
      <c r="C7" s="115">
        <v>170607</v>
      </c>
      <c r="D7" s="115">
        <v>304332.28999999998</v>
      </c>
      <c r="E7" s="168">
        <v>596622</v>
      </c>
      <c r="F7" s="173">
        <f>WPF!C36</f>
        <v>500000</v>
      </c>
      <c r="G7" s="173">
        <f>WPF!D36</f>
        <v>300000</v>
      </c>
      <c r="H7" s="178">
        <f>WPF!E36</f>
        <v>250000</v>
      </c>
      <c r="I7" s="184">
        <f>WPF!F36</f>
        <v>150000</v>
      </c>
      <c r="J7" s="173">
        <f>WPF!G36</f>
        <v>100000</v>
      </c>
    </row>
    <row r="8" spans="1:10" ht="30.75" thickBot="1" x14ac:dyDescent="0.3">
      <c r="A8" s="163" t="s">
        <v>64</v>
      </c>
      <c r="B8" s="164"/>
      <c r="C8" s="165"/>
      <c r="D8" s="165"/>
      <c r="E8" s="169">
        <v>6254818</v>
      </c>
      <c r="F8" s="174">
        <f>[1]WPF!C28</f>
        <v>2700000</v>
      </c>
      <c r="G8" s="174">
        <f>[1]WPF!D28</f>
        <v>1846903</v>
      </c>
      <c r="H8" s="179">
        <f>[1]WPF!E28</f>
        <v>0</v>
      </c>
      <c r="I8" s="185">
        <f>[1]WPF!F28</f>
        <v>0</v>
      </c>
      <c r="J8" s="174">
        <f>[1]WPF!G28</f>
        <v>0</v>
      </c>
    </row>
    <row r="9" spans="1:10" ht="15.75" thickBot="1" x14ac:dyDescent="0.3">
      <c r="A9" s="116"/>
    </row>
    <row r="10" spans="1:10" ht="15.75" thickBot="1" x14ac:dyDescent="0.3">
      <c r="A10" s="116"/>
      <c r="B10" s="117">
        <v>2008</v>
      </c>
      <c r="C10" s="118">
        <v>2009</v>
      </c>
      <c r="D10" s="119">
        <v>2010</v>
      </c>
      <c r="E10" s="120" t="s">
        <v>57</v>
      </c>
      <c r="F10" s="121">
        <v>2012</v>
      </c>
      <c r="G10" s="122">
        <v>2013</v>
      </c>
      <c r="H10" s="123">
        <v>2014</v>
      </c>
      <c r="I10" s="123">
        <v>2015</v>
      </c>
      <c r="J10" s="123">
        <v>2016</v>
      </c>
    </row>
    <row r="11" spans="1:10" ht="25.5" x14ac:dyDescent="0.25">
      <c r="A11" s="124" t="s">
        <v>65</v>
      </c>
      <c r="B11" s="125">
        <f t="shared" ref="B11:J11" si="0">(B6+B7)/B5</f>
        <v>1.6771528699672817E-2</v>
      </c>
      <c r="C11" s="126">
        <f t="shared" si="0"/>
        <v>1.4169658843962462E-2</v>
      </c>
      <c r="D11" s="125">
        <f t="shared" si="0"/>
        <v>1.7871826544821775E-2</v>
      </c>
      <c r="E11" s="127">
        <f t="shared" si="0"/>
        <v>2.4406338235372114E-2</v>
      </c>
      <c r="F11" s="128">
        <f t="shared" si="0"/>
        <v>3.9431135389677435E-2</v>
      </c>
      <c r="G11" s="129">
        <f t="shared" si="0"/>
        <v>2.9327297094817746E-2</v>
      </c>
      <c r="H11" s="130">
        <f t="shared" si="0"/>
        <v>2.5442267760266663E-2</v>
      </c>
      <c r="I11" s="130">
        <f t="shared" si="0"/>
        <v>2.3896669140820795E-2</v>
      </c>
      <c r="J11" s="130">
        <f t="shared" si="0"/>
        <v>1.6752508638295374E-2</v>
      </c>
    </row>
    <row r="12" spans="1:10" ht="25.5" x14ac:dyDescent="0.25">
      <c r="A12" s="131" t="s">
        <v>66</v>
      </c>
      <c r="B12" s="132">
        <f t="shared" ref="B12:J12" si="1">(B2+B3-B4)/B5</f>
        <v>1.2312051581891878E-2</v>
      </c>
      <c r="C12" s="133">
        <f t="shared" si="1"/>
        <v>6.0489438641164427E-2</v>
      </c>
      <c r="D12" s="132">
        <f t="shared" si="1"/>
        <v>5.2497368047280018E-3</v>
      </c>
      <c r="E12" s="134">
        <f>(E2+E3-E4)/E5</f>
        <v>-3.5661821981297935E-2</v>
      </c>
      <c r="F12" s="135">
        <f t="shared" si="1"/>
        <v>1.7568160251847147E-2</v>
      </c>
      <c r="G12" s="136">
        <f t="shared" si="1"/>
        <v>9.7182387617439719E-2</v>
      </c>
      <c r="H12" s="137">
        <f t="shared" si="1"/>
        <v>0.11468009807454542</v>
      </c>
      <c r="I12" s="137">
        <f t="shared" si="1"/>
        <v>4.5134222081226498E-3</v>
      </c>
      <c r="J12" s="137">
        <f t="shared" si="1"/>
        <v>4.4872266994838532E-3</v>
      </c>
    </row>
    <row r="13" spans="1:10" ht="25.5" x14ac:dyDescent="0.25">
      <c r="A13" s="138" t="s">
        <v>67</v>
      </c>
      <c r="B13" s="139" t="s">
        <v>29</v>
      </c>
      <c r="C13" s="140" t="s">
        <v>29</v>
      </c>
      <c r="D13" s="139" t="s">
        <v>29</v>
      </c>
      <c r="E13" s="141">
        <f t="shared" ref="E13:J13" si="2">(D12+C12+B12)/3</f>
        <v>2.6017075675928102E-2</v>
      </c>
      <c r="F13" s="142">
        <f t="shared" si="2"/>
        <v>1.0025784488198164E-2</v>
      </c>
      <c r="G13" s="143">
        <f t="shared" si="2"/>
        <v>-4.2813083082409295E-3</v>
      </c>
      <c r="H13" s="143">
        <f>(G12+F12+E12)/3</f>
        <v>2.6362908629329645E-2</v>
      </c>
      <c r="I13" s="143">
        <f t="shared" si="2"/>
        <v>7.6476881981277431E-2</v>
      </c>
      <c r="J13" s="143">
        <f t="shared" si="2"/>
        <v>7.2125302633369262E-2</v>
      </c>
    </row>
    <row r="14" spans="1:10" ht="15.75" thickBot="1" x14ac:dyDescent="0.3">
      <c r="A14" s="144" t="s">
        <v>68</v>
      </c>
      <c r="B14" s="145"/>
      <c r="C14" s="146"/>
      <c r="D14" s="145"/>
      <c r="E14" s="147" t="b">
        <f t="shared" ref="E14:J14" si="3">E11&lt;=E13</f>
        <v>1</v>
      </c>
      <c r="F14" s="148" t="b">
        <f t="shared" si="3"/>
        <v>0</v>
      </c>
      <c r="G14" s="149" t="b">
        <f t="shared" si="3"/>
        <v>0</v>
      </c>
      <c r="H14" s="149" t="b">
        <f t="shared" si="3"/>
        <v>1</v>
      </c>
      <c r="I14" s="149" t="b">
        <f>I11&lt;=I13</f>
        <v>1</v>
      </c>
      <c r="J14" s="149" t="b">
        <f t="shared" si="3"/>
        <v>1</v>
      </c>
    </row>
    <row r="15" spans="1:10" x14ac:dyDescent="0.25">
      <c r="E15" s="150"/>
    </row>
    <row r="16" spans="1:10" ht="15.75" thickBot="1" x14ac:dyDescent="0.3"/>
    <row r="17" spans="1:10" ht="79.5" customHeight="1" thickBot="1" x14ac:dyDescent="0.3">
      <c r="A17" s="187" t="s">
        <v>69</v>
      </c>
      <c r="B17" s="188"/>
      <c r="C17" s="189"/>
      <c r="D17" s="188"/>
      <c r="E17" s="189" t="b">
        <f t="shared" ref="E17:J17" si="4">E4&lt;=E2+E8</f>
        <v>1</v>
      </c>
      <c r="F17" s="188" t="b">
        <f t="shared" si="4"/>
        <v>1</v>
      </c>
      <c r="G17" s="189" t="b">
        <f t="shared" si="4"/>
        <v>1</v>
      </c>
      <c r="H17" s="188" t="b">
        <f t="shared" si="4"/>
        <v>1</v>
      </c>
      <c r="I17" s="189" t="b">
        <f t="shared" si="4"/>
        <v>1</v>
      </c>
      <c r="J17" s="189" t="b">
        <f t="shared" si="4"/>
        <v>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WPF</vt:lpstr>
      <vt:lpstr>Wlk. inform.</vt:lpstr>
      <vt:lpstr>Arkusz3</vt:lpstr>
      <vt:lpstr>WPF!Obszar_wydruku</vt:lpstr>
      <vt:lpstr>WPF!Tytuły_wydruku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2011-12-28T09:34:12Z</dcterms:modified>
</cp:coreProperties>
</file>