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externalReferences>
    <externalReference r:id="rId6"/>
    <externalReference r:id="rId7"/>
  </externalReferences>
  <definedNames>
    <definedName name="_xlnm.Print_Area" localSheetId="0">'Arkusz1'!$A$1:$H$52</definedName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<sst xmlns="http://schemas.openxmlformats.org/spreadsheetml/2006/main" count="94" uniqueCount="59">
  <si>
    <t>Załącznik nr 1</t>
  </si>
  <si>
    <t>Rady Powiatu Brzeskiego</t>
  </si>
  <si>
    <t>Wieloletnia prognoza finansowa na lata 2011-2016</t>
  </si>
  <si>
    <t>Lp.</t>
  </si>
  <si>
    <t>Wyszczególnienie</t>
  </si>
  <si>
    <t>Dochody ogółem, z tego:</t>
  </si>
  <si>
    <t>a</t>
  </si>
  <si>
    <t>dochody bieżące</t>
  </si>
  <si>
    <t>b</t>
  </si>
  <si>
    <t>dochody majątkowe, w tym:</t>
  </si>
  <si>
    <t>c</t>
  </si>
  <si>
    <t>ze sprzedaży majątku</t>
  </si>
  <si>
    <t>Wydatki bieżące, w tym:</t>
  </si>
  <si>
    <t xml:space="preserve">na wynagrodzenia i składki od nich naliczane </t>
  </si>
  <si>
    <t>-</t>
  </si>
  <si>
    <t xml:space="preserve">związane z funkcjonowaniem organów JST </t>
  </si>
  <si>
    <t xml:space="preserve">wydatki bieżące związane z funkcjonowaniem organów JST     </t>
  </si>
  <si>
    <t>z tytułu gwarancji i poręczeń, w tym:</t>
  </si>
  <si>
    <t>d</t>
  </si>
  <si>
    <t>gwarancje i poręczenia podlegające wyłączeniu z limitów spłaty zobowiązań z art. 243 ufp/169 sufp</t>
  </si>
  <si>
    <t>e</t>
  </si>
  <si>
    <r>
      <t xml:space="preserve">wydatki bieżące objęte limitem art. 226 ust. 4 ufp     </t>
    </r>
    <r>
      <rPr>
        <sz val="10"/>
        <color indexed="57"/>
        <rFont val="Arial CE"/>
        <family val="0"/>
      </rPr>
      <t xml:space="preserve"> </t>
    </r>
  </si>
  <si>
    <t>Środki do dyspozycji na wydatki majątkowe (12-13-14)</t>
  </si>
  <si>
    <t>Wydatki majątkowe, w tym:</t>
  </si>
  <si>
    <t>wydatki majątkowe objęte limitem art. 226 ust. 4 ufp</t>
  </si>
  <si>
    <t>Wydatki ogółem (2+4)</t>
  </si>
  <si>
    <t>Wynik budżetu (1-5)</t>
  </si>
  <si>
    <t>Sposób sfinansowania deficytu/przeznaczenia nadwyżki</t>
  </si>
  <si>
    <t>x</t>
  </si>
  <si>
    <t>Nadwyżka budżetowa z lat ubiegłych plus wolne środki, zgodnie z art. 217 ufp, w tym:</t>
  </si>
  <si>
    <t>Nadwyżka budżetowa z lat ubiegłych plus wolne środki, zgodnie z art. 217 ufp, angażowane na pokrycie deficytu budżetu roku bieżącego</t>
  </si>
  <si>
    <t xml:space="preserve">Inne przychody niezwiązane z zaciągnięciem długu </t>
  </si>
  <si>
    <t>Przychody (kredyty, pożyczki, emisje obligacji)</t>
  </si>
  <si>
    <t>Przychody budżetu</t>
  </si>
  <si>
    <t>Środki do dyspozycji (1-2+8+9+13b)</t>
  </si>
  <si>
    <t>Spłata i obsługa długu, z tego:</t>
  </si>
  <si>
    <t>rozchody z tytułu spłaty rat kapitałowych oraz wykup papierów wartościowych</t>
  </si>
  <si>
    <t>wydatki bieżące na obsługę długu</t>
  </si>
  <si>
    <t>Inne rozchody (bez spłaty długu np. udzielane pożyczki)</t>
  </si>
  <si>
    <t>Rozchodu budżetu (13a+14)</t>
  </si>
  <si>
    <t>Wynik finansowy budżetu (3-4+10)</t>
  </si>
  <si>
    <t xml:space="preserve">Kwota długu, w tym: </t>
  </si>
  <si>
    <t>łączna kwota wyłączeń z art. 243 ust. 3 pkt 1 ufp oraz z art. 170 ust. 3 sufp</t>
  </si>
  <si>
    <t>kwota wyłączeń z art. 243 ust. 3 pkt 1 ufp oraz z art. 170 ust. 3 sufp przypadająca na dany rok budżetowy</t>
  </si>
  <si>
    <t xml:space="preserve">Kwota zobowiązań współtworzonego przez jst przypadających do spłaty w danym roku budżetowym podlegające doliczeniu zgodnie z art. 244 ufp </t>
  </si>
  <si>
    <t>0</t>
  </si>
  <si>
    <t xml:space="preserve">Planowana łączna kwota spłaty zobowiązań </t>
  </si>
  <si>
    <t xml:space="preserve">Maksymalny dopuszczalny wskaźnik spłaty z art. 243 ufp </t>
  </si>
  <si>
    <t xml:space="preserve">Spełnienie wskaźnika spłaty z art. 243 ufp po uwzględnieniu art. 244 ufp                                                 </t>
  </si>
  <si>
    <t>TAK</t>
  </si>
  <si>
    <t xml:space="preserve">TAK </t>
  </si>
  <si>
    <t xml:space="preserve">Planowana łączna kwota spłaty zobowiązań/dochody ogółem - max 15% z  art. 169 sufp </t>
  </si>
  <si>
    <t xml:space="preserve">Zadłużenie/dochody ogółem ((17-17a):1) - max 60% z art. 170 sufp </t>
  </si>
  <si>
    <t xml:space="preserve">(Dochody bieżące + sprzedaż majątku - wydatki bieżące)/ dochody ogółem (Db + Sm - Wb)/D - dla danego roku </t>
  </si>
  <si>
    <r>
      <t>Średnia arytmetyczna pozycji pierwszej z ostatnich trzech lat (</t>
    </r>
    <r>
      <rPr>
        <i/>
        <sz val="10"/>
        <rFont val="Arial CE"/>
        <family val="0"/>
      </rPr>
      <t>prawa strona wzoru)</t>
    </r>
  </si>
  <si>
    <r>
      <t>Wskaźnik zadłużenia (</t>
    </r>
    <r>
      <rPr>
        <i/>
        <sz val="10"/>
        <rFont val="Arial CE"/>
        <family val="0"/>
      </rPr>
      <t>lewa strona wzoru)</t>
    </r>
  </si>
  <si>
    <t>Ocena spełnienia warunku uchwalenia budżetu z art. 243 ufp</t>
  </si>
  <si>
    <t>z dnia 14 lipca 2011r.</t>
  </si>
  <si>
    <t>do uchwały nr XI/75/11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</si>
</sst>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46">
    <font>
      <sz val="10"/>
      <name val="Arial CE"/>
      <family val="0"/>
    </font>
    <font>
      <sz val="10"/>
      <color indexed="10"/>
      <name val="Arial CE"/>
      <family val="0"/>
    </font>
    <font>
      <b/>
      <sz val="14"/>
      <name val="Arial CE"/>
      <family val="0"/>
    </font>
    <font>
      <sz val="10"/>
      <color indexed="12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0"/>
      <color indexed="57"/>
      <name val="Arial CE"/>
      <family val="0"/>
    </font>
    <font>
      <b/>
      <i/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0"/>
      <name val="Arial"/>
      <family val="2"/>
    </font>
    <font>
      <i/>
      <sz val="10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top"/>
    </xf>
    <xf numFmtId="3" fontId="5" fillId="34" borderId="16" xfId="0" applyNumberFormat="1" applyFont="1" applyFill="1" applyBorder="1" applyAlignment="1">
      <alignment horizontal="left" vertical="center" wrapText="1"/>
    </xf>
    <xf numFmtId="3" fontId="5" fillId="33" borderId="17" xfId="0" applyNumberFormat="1" applyFont="1" applyFill="1" applyBorder="1" applyAlignment="1" applyProtection="1">
      <alignment/>
      <protection/>
    </xf>
    <xf numFmtId="3" fontId="5" fillId="0" borderId="18" xfId="0" applyNumberFormat="1" applyFont="1" applyFill="1" applyBorder="1" applyAlignment="1" applyProtection="1">
      <alignment/>
      <protection/>
    </xf>
    <xf numFmtId="3" fontId="5" fillId="0" borderId="19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3" fontId="0" fillId="34" borderId="20" xfId="0" applyNumberFormat="1" applyFont="1" applyFill="1" applyBorder="1" applyAlignment="1">
      <alignment horizontal="center" vertical="top"/>
    </xf>
    <xf numFmtId="3" fontId="0" fillId="34" borderId="21" xfId="0" applyNumberFormat="1" applyFont="1" applyFill="1" applyBorder="1" applyAlignment="1">
      <alignment horizontal="left" vertical="center" wrapText="1"/>
    </xf>
    <xf numFmtId="3" fontId="0" fillId="33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34" borderId="25" xfId="0" applyNumberFormat="1" applyFont="1" applyFill="1" applyBorder="1" applyAlignment="1">
      <alignment/>
    </xf>
    <xf numFmtId="3" fontId="0" fillId="34" borderId="26" xfId="0" applyNumberFormat="1" applyFont="1" applyFill="1" applyBorder="1" applyAlignment="1">
      <alignment horizontal="center" vertical="top"/>
    </xf>
    <xf numFmtId="3" fontId="0" fillId="34" borderId="27" xfId="0" applyNumberFormat="1" applyFont="1" applyFill="1" applyBorder="1" applyAlignment="1">
      <alignment horizontal="left" vertical="center" wrapText="1"/>
    </xf>
    <xf numFmtId="3" fontId="0" fillId="33" borderId="28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34" borderId="31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 horizontal="center" vertical="top"/>
    </xf>
    <xf numFmtId="3" fontId="4" fillId="34" borderId="16" xfId="0" applyNumberFormat="1" applyFont="1" applyFill="1" applyBorder="1" applyAlignment="1">
      <alignment horizontal="left" vertical="center" wrapText="1"/>
    </xf>
    <xf numFmtId="3" fontId="4" fillId="0" borderId="32" xfId="0" applyNumberFormat="1" applyFont="1" applyFill="1" applyBorder="1" applyAlignment="1">
      <alignment horizontal="right" vertical="center"/>
    </xf>
    <xf numFmtId="3" fontId="4" fillId="0" borderId="33" xfId="0" applyNumberFormat="1" applyFont="1" applyFill="1" applyBorder="1" applyAlignment="1">
      <alignment horizontal="right" vertical="center"/>
    </xf>
    <xf numFmtId="3" fontId="0" fillId="33" borderId="34" xfId="0" applyNumberFormat="1" applyFont="1" applyFill="1" applyBorder="1" applyAlignment="1">
      <alignment/>
    </xf>
    <xf numFmtId="3" fontId="0" fillId="34" borderId="23" xfId="0" applyNumberFormat="1" applyFont="1" applyFill="1" applyBorder="1" applyAlignment="1">
      <alignment/>
    </xf>
    <xf numFmtId="3" fontId="0" fillId="34" borderId="24" xfId="0" applyNumberFormat="1" applyFont="1" applyFill="1" applyBorder="1" applyAlignment="1">
      <alignment/>
    </xf>
    <xf numFmtId="3" fontId="0" fillId="33" borderId="35" xfId="0" applyNumberFormat="1" applyFont="1" applyFill="1" applyBorder="1" applyAlignment="1">
      <alignment horizontal="right" vertical="center"/>
    </xf>
    <xf numFmtId="3" fontId="0" fillId="34" borderId="29" xfId="0" applyNumberFormat="1" applyFont="1" applyFill="1" applyBorder="1" applyAlignment="1">
      <alignment/>
    </xf>
    <xf numFmtId="3" fontId="0" fillId="34" borderId="30" xfId="0" applyNumberFormat="1" applyFont="1" applyFill="1" applyBorder="1" applyAlignment="1">
      <alignment/>
    </xf>
    <xf numFmtId="3" fontId="4" fillId="34" borderId="36" xfId="0" applyNumberFormat="1" applyFont="1" applyFill="1" applyBorder="1" applyAlignment="1">
      <alignment horizontal="center" vertical="top"/>
    </xf>
    <xf numFmtId="3" fontId="4" fillId="34" borderId="37" xfId="0" applyNumberFormat="1" applyFont="1" applyFill="1" applyBorder="1" applyAlignment="1">
      <alignment horizontal="left" vertical="center" wrapText="1"/>
    </xf>
    <xf numFmtId="3" fontId="0" fillId="33" borderId="1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4" fillId="34" borderId="19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 horizontal="center" vertical="top"/>
    </xf>
    <xf numFmtId="3" fontId="5" fillId="35" borderId="25" xfId="0" applyNumberFormat="1" applyFont="1" applyFill="1" applyBorder="1" applyAlignment="1">
      <alignment horizontal="left" vertical="center" wrapText="1"/>
    </xf>
    <xf numFmtId="3" fontId="5" fillId="36" borderId="22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35" borderId="13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4" fillId="34" borderId="39" xfId="0" applyNumberFormat="1" applyFont="1" applyFill="1" applyBorder="1" applyAlignment="1">
      <alignment horizontal="center" vertical="top"/>
    </xf>
    <xf numFmtId="3" fontId="4" fillId="34" borderId="40" xfId="0" applyNumberFormat="1" applyFont="1" applyFill="1" applyBorder="1" applyAlignment="1">
      <alignment horizontal="left" vertical="center" wrapText="1"/>
    </xf>
    <xf numFmtId="3" fontId="4" fillId="33" borderId="41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3" fontId="4" fillId="0" borderId="43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4" fillId="33" borderId="17" xfId="0" applyNumberFormat="1" applyFont="1" applyFill="1" applyBorder="1" applyAlignment="1">
      <alignment horizontal="center" vertical="center"/>
    </xf>
    <xf numFmtId="3" fontId="4" fillId="34" borderId="44" xfId="0" applyNumberFormat="1" applyFont="1" applyFill="1" applyBorder="1" applyAlignment="1">
      <alignment horizontal="center" vertical="center"/>
    </xf>
    <xf numFmtId="3" fontId="4" fillId="34" borderId="32" xfId="0" applyNumberFormat="1" applyFont="1" applyFill="1" applyBorder="1" applyAlignment="1">
      <alignment horizontal="center" vertical="center"/>
    </xf>
    <xf numFmtId="3" fontId="4" fillId="34" borderId="3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9" fillId="0" borderId="20" xfId="0" applyFont="1" applyBorder="1" applyAlignment="1">
      <alignment horizontal="center" vertical="top"/>
    </xf>
    <xf numFmtId="3" fontId="4" fillId="34" borderId="21" xfId="0" applyNumberFormat="1" applyFont="1" applyFill="1" applyBorder="1" applyAlignment="1">
      <alignment horizontal="left" vertical="center" wrapText="1"/>
    </xf>
    <xf numFmtId="3" fontId="0" fillId="0" borderId="25" xfId="0" applyNumberFormat="1" applyFont="1" applyFill="1" applyBorder="1" applyAlignment="1">
      <alignment/>
    </xf>
    <xf numFmtId="3" fontId="4" fillId="34" borderId="26" xfId="0" applyNumberFormat="1" applyFont="1" applyFill="1" applyBorder="1" applyAlignment="1">
      <alignment horizontal="center" vertical="top"/>
    </xf>
    <xf numFmtId="3" fontId="4" fillId="34" borderId="27" xfId="0" applyNumberFormat="1" applyFont="1" applyFill="1" applyBorder="1" applyAlignment="1">
      <alignment horizontal="left" vertical="center" wrapText="1"/>
    </xf>
    <xf numFmtId="3" fontId="0" fillId="0" borderId="45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 vertical="top"/>
    </xf>
    <xf numFmtId="3" fontId="5" fillId="34" borderId="11" xfId="0" applyNumberFormat="1" applyFont="1" applyFill="1" applyBorder="1" applyAlignment="1">
      <alignment horizontal="left" vertical="center" wrapText="1"/>
    </xf>
    <xf numFmtId="3" fontId="5" fillId="33" borderId="48" xfId="0" applyNumberFormat="1" applyFont="1" applyFill="1" applyBorder="1" applyAlignment="1">
      <alignment/>
    </xf>
    <xf numFmtId="3" fontId="5" fillId="0" borderId="49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3" fontId="4" fillId="0" borderId="50" xfId="0" applyNumberFormat="1" applyFont="1" applyFill="1" applyBorder="1" applyAlignment="1">
      <alignment horizontal="center" vertical="top"/>
    </xf>
    <xf numFmtId="3" fontId="4" fillId="34" borderId="51" xfId="0" applyNumberFormat="1" applyFont="1" applyFill="1" applyBorder="1" applyAlignment="1">
      <alignment horizontal="left" vertical="center" wrapText="1"/>
    </xf>
    <xf numFmtId="3" fontId="0" fillId="33" borderId="52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 horizontal="center" vertical="top"/>
    </xf>
    <xf numFmtId="3" fontId="0" fillId="33" borderId="53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 horizontal="center" vertical="top"/>
    </xf>
    <xf numFmtId="3" fontId="4" fillId="0" borderId="54" xfId="0" applyNumberFormat="1" applyFont="1" applyFill="1" applyBorder="1" applyAlignment="1">
      <alignment horizontal="center" vertical="top"/>
    </xf>
    <xf numFmtId="3" fontId="4" fillId="34" borderId="55" xfId="0" applyNumberFormat="1" applyFont="1" applyFill="1" applyBorder="1" applyAlignment="1">
      <alignment horizontal="left" vertical="center" wrapText="1"/>
    </xf>
    <xf numFmtId="3" fontId="0" fillId="33" borderId="56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5" fillId="34" borderId="14" xfId="0" applyNumberFormat="1" applyFont="1" applyFill="1" applyBorder="1" applyAlignment="1">
      <alignment horizontal="left" vertical="center" wrapText="1"/>
    </xf>
    <xf numFmtId="3" fontId="4" fillId="34" borderId="57" xfId="0" applyNumberFormat="1" applyFont="1" applyFill="1" applyBorder="1" applyAlignment="1">
      <alignment horizontal="center" vertical="top"/>
    </xf>
    <xf numFmtId="3" fontId="4" fillId="34" borderId="58" xfId="0" applyNumberFormat="1" applyFont="1" applyFill="1" applyBorder="1" applyAlignment="1">
      <alignment horizontal="left" vertical="center" wrapText="1"/>
    </xf>
    <xf numFmtId="3" fontId="4" fillId="33" borderId="59" xfId="0" applyNumberFormat="1" applyFon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4" fillId="0" borderId="61" xfId="0" applyNumberFormat="1" applyFont="1" applyFill="1" applyBorder="1" applyAlignment="1">
      <alignment/>
    </xf>
    <xf numFmtId="3" fontId="4" fillId="0" borderId="62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" vertical="top"/>
    </xf>
    <xf numFmtId="3" fontId="0" fillId="33" borderId="17" xfId="0" applyNumberFormat="1" applyFont="1" applyFill="1" applyBorder="1" applyAlignment="1">
      <alignment/>
    </xf>
    <xf numFmtId="3" fontId="4" fillId="34" borderId="20" xfId="0" applyNumberFormat="1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>
      <alignment horizontal="right"/>
    </xf>
    <xf numFmtId="49" fontId="0" fillId="34" borderId="23" xfId="0" applyNumberFormat="1" applyFont="1" applyFill="1" applyBorder="1" applyAlignment="1">
      <alignment horizontal="right"/>
    </xf>
    <xf numFmtId="49" fontId="0" fillId="34" borderId="24" xfId="0" applyNumberFormat="1" applyFont="1" applyFill="1" applyBorder="1" applyAlignment="1">
      <alignment horizontal="right"/>
    </xf>
    <xf numFmtId="3" fontId="0" fillId="34" borderId="24" xfId="0" applyNumberFormat="1" applyFont="1" applyFill="1" applyBorder="1" applyAlignment="1">
      <alignment horizontal="right"/>
    </xf>
    <xf numFmtId="3" fontId="0" fillId="34" borderId="25" xfId="0" applyNumberFormat="1" applyFont="1" applyFill="1" applyBorder="1" applyAlignment="1">
      <alignment horizontal="right"/>
    </xf>
    <xf numFmtId="49" fontId="0" fillId="33" borderId="22" xfId="0" applyNumberFormat="1" applyFont="1" applyFill="1" applyBorder="1" applyAlignment="1">
      <alignment horizontal="center"/>
    </xf>
    <xf numFmtId="49" fontId="0" fillId="34" borderId="23" xfId="0" applyNumberFormat="1" applyFont="1" applyFill="1" applyBorder="1" applyAlignment="1">
      <alignment horizontal="center"/>
    </xf>
    <xf numFmtId="49" fontId="0" fillId="34" borderId="24" xfId="0" applyNumberFormat="1" applyFont="1" applyFill="1" applyBorder="1" applyAlignment="1">
      <alignment horizontal="center"/>
    </xf>
    <xf numFmtId="164" fontId="0" fillId="34" borderId="24" xfId="0" applyNumberFormat="1" applyFont="1" applyFill="1" applyBorder="1" applyAlignment="1">
      <alignment horizontal="center"/>
    </xf>
    <xf numFmtId="4" fontId="4" fillId="34" borderId="21" xfId="0" applyNumberFormat="1" applyFont="1" applyFill="1" applyBorder="1" applyAlignment="1">
      <alignment horizontal="left" vertical="center" wrapText="1"/>
    </xf>
    <xf numFmtId="164" fontId="0" fillId="33" borderId="22" xfId="0" applyNumberFormat="1" applyFont="1" applyFill="1" applyBorder="1" applyAlignment="1">
      <alignment horizontal="center"/>
    </xf>
    <xf numFmtId="164" fontId="0" fillId="34" borderId="23" xfId="0" applyNumberFormat="1" applyFont="1" applyFill="1" applyBorder="1" applyAlignment="1">
      <alignment horizontal="center"/>
    </xf>
    <xf numFmtId="164" fontId="0" fillId="34" borderId="25" xfId="0" applyNumberFormat="1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10" fontId="0" fillId="34" borderId="23" xfId="0" applyNumberFormat="1" applyFont="1" applyFill="1" applyBorder="1" applyAlignment="1">
      <alignment horizontal="center"/>
    </xf>
    <xf numFmtId="10" fontId="0" fillId="34" borderId="24" xfId="0" applyNumberFormat="1" applyFont="1" applyFill="1" applyBorder="1" applyAlignment="1">
      <alignment horizontal="center"/>
    </xf>
    <xf numFmtId="10" fontId="0" fillId="34" borderId="25" xfId="0" applyNumberFormat="1" applyFont="1" applyFill="1" applyBorder="1" applyAlignment="1">
      <alignment horizontal="center"/>
    </xf>
    <xf numFmtId="164" fontId="0" fillId="33" borderId="28" xfId="0" applyNumberFormat="1" applyFont="1" applyFill="1" applyBorder="1" applyAlignment="1">
      <alignment horizontal="center"/>
    </xf>
    <xf numFmtId="164" fontId="0" fillId="34" borderId="45" xfId="0" applyNumberFormat="1" applyFont="1" applyFill="1" applyBorder="1" applyAlignment="1">
      <alignment horizontal="center"/>
    </xf>
    <xf numFmtId="164" fontId="0" fillId="34" borderId="46" xfId="0" applyNumberFormat="1" applyFont="1" applyFill="1" applyBorder="1" applyAlignment="1">
      <alignment horizontal="center"/>
    </xf>
    <xf numFmtId="10" fontId="0" fillId="34" borderId="46" xfId="0" applyNumberFormat="1" applyFont="1" applyFill="1" applyBorder="1" applyAlignment="1">
      <alignment horizontal="center"/>
    </xf>
    <xf numFmtId="10" fontId="0" fillId="34" borderId="47" xfId="0" applyNumberFormat="1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 vertical="center" wrapText="1"/>
    </xf>
    <xf numFmtId="49" fontId="11" fillId="34" borderId="63" xfId="0" applyNumberFormat="1" applyFont="1" applyFill="1" applyBorder="1" applyAlignment="1">
      <alignment horizontal="center" vertical="center"/>
    </xf>
    <xf numFmtId="49" fontId="0" fillId="34" borderId="17" xfId="0" applyNumberFormat="1" applyFont="1" applyFill="1" applyBorder="1" applyAlignment="1">
      <alignment horizontal="left" vertical="center" wrapText="1"/>
    </xf>
    <xf numFmtId="164" fontId="0" fillId="34" borderId="17" xfId="0" applyNumberFormat="1" applyFont="1" applyFill="1" applyBorder="1" applyAlignment="1">
      <alignment horizontal="center" vertical="center"/>
    </xf>
    <xf numFmtId="49" fontId="11" fillId="34" borderId="53" xfId="0" applyNumberFormat="1" applyFont="1" applyFill="1" applyBorder="1" applyAlignment="1">
      <alignment horizontal="center" vertical="center"/>
    </xf>
    <xf numFmtId="49" fontId="0" fillId="34" borderId="22" xfId="0" applyNumberFormat="1" applyFont="1" applyFill="1" applyBorder="1" applyAlignment="1">
      <alignment horizontal="left" vertical="center"/>
    </xf>
    <xf numFmtId="164" fontId="0" fillId="34" borderId="22" xfId="0" applyNumberFormat="1" applyFont="1" applyFill="1" applyBorder="1" applyAlignment="1">
      <alignment horizontal="center" vertical="center"/>
    </xf>
    <xf numFmtId="49" fontId="4" fillId="34" borderId="53" xfId="0" applyNumberFormat="1" applyFont="1" applyFill="1" applyBorder="1" applyAlignment="1">
      <alignment horizontal="center" vertical="center"/>
    </xf>
    <xf numFmtId="49" fontId="4" fillId="34" borderId="64" xfId="0" applyNumberFormat="1" applyFont="1" applyFill="1" applyBorder="1" applyAlignment="1">
      <alignment horizontal="center" vertical="center"/>
    </xf>
    <xf numFmtId="49" fontId="0" fillId="34" borderId="28" xfId="0" applyNumberFormat="1" applyFont="1" applyFill="1" applyBorder="1" applyAlignment="1">
      <alignment horizontal="left" vertical="center"/>
    </xf>
    <xf numFmtId="0" fontId="0" fillId="34" borderId="2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5" fillId="0" borderId="38" xfId="0" applyNumberFormat="1" applyFont="1" applyFill="1" applyBorder="1" applyAlignment="1" applyProtection="1">
      <alignment/>
      <protection/>
    </xf>
    <xf numFmtId="3" fontId="4" fillId="0" borderId="44" xfId="0" applyNumberFormat="1" applyFont="1" applyFill="1" applyBorder="1" applyAlignment="1">
      <alignment horizontal="right" vertical="center"/>
    </xf>
    <xf numFmtId="3" fontId="4" fillId="37" borderId="17" xfId="0" applyNumberFormat="1" applyFont="1" applyFill="1" applyBorder="1" applyAlignment="1">
      <alignment horizontal="right" vertical="center"/>
    </xf>
    <xf numFmtId="3" fontId="4" fillId="37" borderId="65" xfId="0" applyNumberFormat="1" applyFont="1" applyFill="1" applyBorder="1" applyAlignment="1">
      <alignment/>
    </xf>
    <xf numFmtId="3" fontId="0" fillId="37" borderId="2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0" fillId="0" borderId="66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0" fillId="34" borderId="0" xfId="0" applyNumberFormat="1" applyFont="1" applyFill="1" applyBorder="1" applyAlignment="1">
      <alignment horizontal="center" vertical="top"/>
    </xf>
    <xf numFmtId="3" fontId="0" fillId="34" borderId="0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Finanse\Pulpit\Ela\WPF\wpf%20-%20robocza\Za&#322;.%201%20WPF%20-%20zmiany%20-%202011.07.14%20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Finanse\Pulpit\Ela\WPF\wpf%20-%20robocza\Za&#322;.%201%20WPF%20-%20zmiany%20-%202011.06.30%20UR%20nr%20X-72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1">
        <row r="11">
          <cell r="G11">
            <v>0.0245368162219893</v>
          </cell>
          <cell r="H11">
            <v>0.032533612554668974</v>
          </cell>
          <cell r="I11">
            <v>0.03362455497738496</v>
          </cell>
          <cell r="J11">
            <v>0.029134244393339264</v>
          </cell>
          <cell r="K11">
            <v>0.027225462506803428</v>
          </cell>
          <cell r="L11">
            <v>0.01977590453940475</v>
          </cell>
        </row>
        <row r="12">
          <cell r="G12">
            <v>-0.028383024815276655</v>
          </cell>
          <cell r="H12">
            <v>0.043542762092663126</v>
          </cell>
          <cell r="I12">
            <v>0.0721892036975288</v>
          </cell>
        </row>
        <row r="13">
          <cell r="G13">
            <v>0.09088745309693787</v>
          </cell>
          <cell r="H13">
            <v>0.05338979393438828</v>
          </cell>
          <cell r="I13">
            <v>0.047740905484948505</v>
          </cell>
          <cell r="J13">
            <v>0.029116313658305092</v>
          </cell>
          <cell r="K13">
            <v>0.053242399205729984</v>
          </cell>
          <cell r="L13">
            <v>0.04414777082373148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PF"/>
      <sheetName val="Arkusz1"/>
      <sheetName val="Wlk.infor."/>
    </sheetNames>
    <sheetDataSet>
      <sheetData sheetId="2">
        <row r="29">
          <cell r="G29">
            <v>0.0245368162219893</v>
          </cell>
          <cell r="H29">
            <v>0.03208231514538737</v>
          </cell>
          <cell r="I29">
            <v>0.026098867754098844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SheetLayoutView="100" zoomScalePageLayoutView="0" workbookViewId="0" topLeftCell="C1">
      <selection activeCell="F4" sqref="F4"/>
    </sheetView>
  </sheetViews>
  <sheetFormatPr defaultColWidth="9.125" defaultRowHeight="24" customHeight="1"/>
  <cols>
    <col min="1" max="1" width="4.625" style="1" customWidth="1"/>
    <col min="2" max="2" width="84.625" style="1" customWidth="1"/>
    <col min="3" max="8" width="19.00390625" style="1" customWidth="1"/>
    <col min="9" max="16384" width="9.125" style="1" customWidth="1"/>
  </cols>
  <sheetData>
    <row r="1" spans="2:7" ht="12.75" customHeight="1">
      <c r="B1" s="139"/>
      <c r="G1" s="1" t="s">
        <v>0</v>
      </c>
    </row>
    <row r="2" spans="1:7" ht="12.75" customHeight="1">
      <c r="A2" s="2"/>
      <c r="B2" s="139"/>
      <c r="G2" t="s">
        <v>58</v>
      </c>
    </row>
    <row r="3" spans="1:7" ht="12.75" customHeight="1">
      <c r="A3" s="2"/>
      <c r="B3" s="139"/>
      <c r="G3" s="1" t="s">
        <v>1</v>
      </c>
    </row>
    <row r="4" spans="2:7" ht="12.75" customHeight="1">
      <c r="B4" s="139"/>
      <c r="G4" t="s">
        <v>57</v>
      </c>
    </row>
    <row r="5" spans="1:8" ht="24" customHeight="1">
      <c r="A5" s="150" t="s">
        <v>2</v>
      </c>
      <c r="B5" s="151"/>
      <c r="C5" s="151"/>
      <c r="D5" s="151"/>
      <c r="E5" s="151"/>
      <c r="F5" s="151"/>
      <c r="G5" s="151"/>
      <c r="H5" s="151"/>
    </row>
    <row r="6" spans="3:8" ht="24" customHeight="1" thickBot="1">
      <c r="C6" s="3"/>
      <c r="D6" s="3"/>
      <c r="E6" s="3"/>
      <c r="F6" s="3"/>
      <c r="G6" s="3"/>
      <c r="H6" s="3"/>
    </row>
    <row r="7" spans="1:8" ht="24" customHeight="1" thickBot="1">
      <c r="A7" s="4" t="s">
        <v>3</v>
      </c>
      <c r="B7" s="5" t="s">
        <v>4</v>
      </c>
      <c r="C7" s="6">
        <v>2011</v>
      </c>
      <c r="D7" s="4">
        <v>2012</v>
      </c>
      <c r="E7" s="7">
        <v>2013</v>
      </c>
      <c r="F7" s="7">
        <v>2014</v>
      </c>
      <c r="G7" s="7">
        <v>2015</v>
      </c>
      <c r="H7" s="8">
        <v>2016</v>
      </c>
    </row>
    <row r="8" spans="1:8" s="14" customFormat="1" ht="24" customHeight="1">
      <c r="A8" s="9">
        <v>1</v>
      </c>
      <c r="B8" s="10" t="s">
        <v>5</v>
      </c>
      <c r="C8" s="11">
        <f aca="true" t="shared" si="0" ref="C8:H8">C9+C10</f>
        <v>88518860</v>
      </c>
      <c r="D8" s="12">
        <f t="shared" si="0"/>
        <v>94061580</v>
      </c>
      <c r="E8" s="13">
        <f t="shared" si="0"/>
        <v>85639468</v>
      </c>
      <c r="F8" s="13">
        <f t="shared" si="0"/>
        <v>99865504</v>
      </c>
      <c r="G8" s="13">
        <f t="shared" si="0"/>
        <v>96954790</v>
      </c>
      <c r="H8" s="140">
        <f t="shared" si="0"/>
        <v>100113853</v>
      </c>
    </row>
    <row r="9" spans="1:8" ht="24" customHeight="1">
      <c r="A9" s="15" t="s">
        <v>6</v>
      </c>
      <c r="B9" s="16" t="s">
        <v>7</v>
      </c>
      <c r="C9" s="17">
        <f>78516052+227992</f>
        <v>78744044</v>
      </c>
      <c r="D9" s="18">
        <f>84511394-4000000</f>
        <v>80511394</v>
      </c>
      <c r="E9" s="19">
        <f>84819336+541175-4500000</f>
        <v>80860511</v>
      </c>
      <c r="F9" s="19">
        <f>89858429+541175+3000000</f>
        <v>93399604</v>
      </c>
      <c r="G9" s="19">
        <f>92913616+541174</f>
        <v>93454790</v>
      </c>
      <c r="H9" s="65">
        <f>96072679+541174</f>
        <v>96613853</v>
      </c>
    </row>
    <row r="10" spans="1:8" ht="24" customHeight="1">
      <c r="A10" s="15" t="s">
        <v>8</v>
      </c>
      <c r="B10" s="16" t="s">
        <v>9</v>
      </c>
      <c r="C10" s="17">
        <f>10098545-323729</f>
        <v>9774816</v>
      </c>
      <c r="D10" s="18">
        <f>14873337-1323151</f>
        <v>13550186</v>
      </c>
      <c r="E10" s="19">
        <v>4778957</v>
      </c>
      <c r="F10" s="19">
        <v>6465900</v>
      </c>
      <c r="G10" s="19">
        <v>3500000</v>
      </c>
      <c r="H10" s="65">
        <v>3500000</v>
      </c>
    </row>
    <row r="11" spans="1:8" ht="24" customHeight="1" thickBot="1">
      <c r="A11" s="21" t="s">
        <v>10</v>
      </c>
      <c r="B11" s="22" t="s">
        <v>11</v>
      </c>
      <c r="C11" s="23">
        <f>212300</f>
        <v>212300</v>
      </c>
      <c r="D11" s="24">
        <v>400000</v>
      </c>
      <c r="E11" s="25">
        <v>381613</v>
      </c>
      <c r="F11" s="25">
        <v>700000</v>
      </c>
      <c r="G11" s="25">
        <v>200000</v>
      </c>
      <c r="H11" s="94">
        <v>200000</v>
      </c>
    </row>
    <row r="12" spans="1:8" ht="27.75" customHeight="1">
      <c r="A12" s="27">
        <v>2</v>
      </c>
      <c r="B12" s="28" t="s">
        <v>12</v>
      </c>
      <c r="C12" s="142">
        <f>81485449-16672</f>
        <v>81468777</v>
      </c>
      <c r="D12" s="141">
        <f>77153281-337588</f>
        <v>76815693</v>
      </c>
      <c r="E12" s="29">
        <f>79559879-4500000</f>
        <v>75059879</v>
      </c>
      <c r="F12" s="29">
        <f>86455998+F33+3000000</f>
        <v>89705998</v>
      </c>
      <c r="G12" s="29">
        <f>91928414+G33</f>
        <v>92078414</v>
      </c>
      <c r="H12" s="30">
        <f>95109080+H33</f>
        <v>95209080</v>
      </c>
    </row>
    <row r="13" spans="1:8" ht="24" customHeight="1">
      <c r="A13" s="15" t="s">
        <v>6</v>
      </c>
      <c r="B13" s="16" t="s">
        <v>13</v>
      </c>
      <c r="C13" s="17">
        <f>51959915</f>
        <v>51959915</v>
      </c>
      <c r="D13" s="18">
        <v>53530964</v>
      </c>
      <c r="E13" s="19">
        <v>54762166</v>
      </c>
      <c r="F13" s="19">
        <v>56021696</v>
      </c>
      <c r="G13" s="19">
        <v>57310195</v>
      </c>
      <c r="H13" s="20">
        <v>58628329</v>
      </c>
    </row>
    <row r="14" spans="1:8" ht="24" customHeight="1">
      <c r="A14" s="15" t="s">
        <v>14</v>
      </c>
      <c r="B14" s="16" t="s">
        <v>15</v>
      </c>
      <c r="C14" s="31">
        <f>5486434</f>
        <v>5486434</v>
      </c>
      <c r="D14" s="32">
        <v>5740036</v>
      </c>
      <c r="E14" s="33">
        <v>5975378</v>
      </c>
      <c r="F14" s="33">
        <v>6214393</v>
      </c>
      <c r="G14" s="33">
        <v>6425682</v>
      </c>
      <c r="H14" s="20">
        <v>6644155</v>
      </c>
    </row>
    <row r="15" spans="1:8" ht="24" customHeight="1">
      <c r="A15" s="15" t="s">
        <v>8</v>
      </c>
      <c r="B15" s="16" t="s">
        <v>16</v>
      </c>
      <c r="C15" s="34">
        <f>2774160</f>
        <v>2774160</v>
      </c>
      <c r="D15" s="32">
        <v>2748721</v>
      </c>
      <c r="E15" s="33">
        <v>2811942</v>
      </c>
      <c r="F15" s="33">
        <v>2876617</v>
      </c>
      <c r="G15" s="33">
        <v>2942779</v>
      </c>
      <c r="H15" s="20">
        <v>3010463</v>
      </c>
    </row>
    <row r="16" spans="1:8" ht="24" customHeight="1">
      <c r="A16" s="15" t="s">
        <v>10</v>
      </c>
      <c r="B16" s="16" t="s">
        <v>17</v>
      </c>
      <c r="C16" s="17">
        <v>0</v>
      </c>
      <c r="D16" s="32">
        <v>0</v>
      </c>
      <c r="E16" s="33">
        <v>0</v>
      </c>
      <c r="F16" s="33">
        <v>0</v>
      </c>
      <c r="G16" s="33">
        <v>0</v>
      </c>
      <c r="H16" s="20">
        <v>0</v>
      </c>
    </row>
    <row r="17" spans="1:8" ht="24" customHeight="1">
      <c r="A17" s="15" t="s">
        <v>18</v>
      </c>
      <c r="B17" s="16" t="s">
        <v>19</v>
      </c>
      <c r="C17" s="17">
        <v>0</v>
      </c>
      <c r="D17" s="32">
        <v>0</v>
      </c>
      <c r="E17" s="33">
        <v>0</v>
      </c>
      <c r="F17" s="33">
        <v>0</v>
      </c>
      <c r="G17" s="33">
        <v>0</v>
      </c>
      <c r="H17" s="20">
        <v>0</v>
      </c>
    </row>
    <row r="18" spans="1:8" ht="24" customHeight="1" thickBot="1">
      <c r="A18" s="21" t="s">
        <v>20</v>
      </c>
      <c r="B18" s="22" t="s">
        <v>21</v>
      </c>
      <c r="C18" s="23">
        <f>3260036-56339</f>
        <v>3203697</v>
      </c>
      <c r="D18" s="35">
        <f>2799179-1286229</f>
        <v>1512950</v>
      </c>
      <c r="E18" s="36">
        <f>2913945-1341245</f>
        <v>1572700</v>
      </c>
      <c r="F18" s="36">
        <f>3030503-2231603</f>
        <v>798900</v>
      </c>
      <c r="G18" s="36">
        <f>3133540-2208640</f>
        <v>924900</v>
      </c>
      <c r="H18" s="26">
        <f>3240080-2299980</f>
        <v>940100</v>
      </c>
    </row>
    <row r="19" spans="1:8" ht="24" customHeight="1" thickBot="1">
      <c r="A19" s="37">
        <v>3</v>
      </c>
      <c r="B19" s="38" t="s">
        <v>22</v>
      </c>
      <c r="C19" s="39">
        <f aca="true" t="shared" si="1" ref="C19:H19">C30-C31-C34</f>
        <v>11632930</v>
      </c>
      <c r="D19" s="40">
        <f t="shared" si="1"/>
        <v>16585724</v>
      </c>
      <c r="E19" s="40">
        <f t="shared" si="1"/>
        <v>8000000</v>
      </c>
      <c r="F19" s="40">
        <f t="shared" si="1"/>
        <v>7500000</v>
      </c>
      <c r="G19" s="40">
        <f t="shared" si="1"/>
        <v>2386737</v>
      </c>
      <c r="H19" s="41">
        <f t="shared" si="1"/>
        <v>3024931</v>
      </c>
    </row>
    <row r="20" spans="1:8" ht="24" customHeight="1">
      <c r="A20" s="27">
        <v>4</v>
      </c>
      <c r="B20" s="28" t="s">
        <v>23</v>
      </c>
      <c r="C20" s="143">
        <f>11616258+16672</f>
        <v>11632930</v>
      </c>
      <c r="D20" s="145">
        <f>17571287+1179135</f>
        <v>18750422</v>
      </c>
      <c r="E20" s="42">
        <v>8000000</v>
      </c>
      <c r="F20" s="42">
        <v>7500000</v>
      </c>
      <c r="G20" s="42">
        <v>2386737</v>
      </c>
      <c r="H20" s="43">
        <v>3024931</v>
      </c>
    </row>
    <row r="21" spans="1:8" ht="24" customHeight="1" thickBot="1">
      <c r="A21" s="21" t="s">
        <v>6</v>
      </c>
      <c r="B21" s="22" t="s">
        <v>24</v>
      </c>
      <c r="C21" s="144">
        <f>10240943+16672</f>
        <v>10257615</v>
      </c>
      <c r="D21" s="24">
        <f>16291287+1179135</f>
        <v>17470422</v>
      </c>
      <c r="E21" s="36">
        <f>8000000-350000</f>
        <v>7650000</v>
      </c>
      <c r="F21" s="36">
        <v>7500000</v>
      </c>
      <c r="G21" s="36">
        <f>2386737-2386737</f>
        <v>0</v>
      </c>
      <c r="H21" s="26">
        <f>2635184-2635184</f>
        <v>0</v>
      </c>
    </row>
    <row r="22" spans="1:8" s="50" customFormat="1" ht="24" customHeight="1" thickBot="1">
      <c r="A22" s="44">
        <v>5</v>
      </c>
      <c r="B22" s="45" t="s">
        <v>25</v>
      </c>
      <c r="C22" s="46">
        <f aca="true" t="shared" si="2" ref="C22:H22">C20+C12</f>
        <v>93101707</v>
      </c>
      <c r="D22" s="47">
        <f t="shared" si="2"/>
        <v>95566115</v>
      </c>
      <c r="E22" s="48">
        <f t="shared" si="2"/>
        <v>83059879</v>
      </c>
      <c r="F22" s="48">
        <f t="shared" si="2"/>
        <v>97205998</v>
      </c>
      <c r="G22" s="48">
        <f t="shared" si="2"/>
        <v>94465151</v>
      </c>
      <c r="H22" s="49">
        <f t="shared" si="2"/>
        <v>98234011</v>
      </c>
    </row>
    <row r="23" spans="1:8" s="57" customFormat="1" ht="24" customHeight="1" thickBot="1">
      <c r="A23" s="51">
        <v>6</v>
      </c>
      <c r="B23" s="52" t="s">
        <v>26</v>
      </c>
      <c r="C23" s="53">
        <f aca="true" t="shared" si="3" ref="C23:H23">C8-C22</f>
        <v>-4582847</v>
      </c>
      <c r="D23" s="54">
        <f>D8-D22</f>
        <v>-1504535</v>
      </c>
      <c r="E23" s="55">
        <f t="shared" si="3"/>
        <v>2579589</v>
      </c>
      <c r="F23" s="55">
        <f t="shared" si="3"/>
        <v>2659506</v>
      </c>
      <c r="G23" s="55">
        <f t="shared" si="3"/>
        <v>2489639</v>
      </c>
      <c r="H23" s="56">
        <f t="shared" si="3"/>
        <v>1879842</v>
      </c>
    </row>
    <row r="24" spans="1:8" s="62" customFormat="1" ht="24" customHeight="1">
      <c r="A24" s="27">
        <v>7</v>
      </c>
      <c r="B24" s="28" t="s">
        <v>27</v>
      </c>
      <c r="C24" s="58" t="s">
        <v>28</v>
      </c>
      <c r="D24" s="59" t="s">
        <v>28</v>
      </c>
      <c r="E24" s="60" t="s">
        <v>28</v>
      </c>
      <c r="F24" s="60" t="s">
        <v>28</v>
      </c>
      <c r="G24" s="60" t="s">
        <v>28</v>
      </c>
      <c r="H24" s="61" t="s">
        <v>28</v>
      </c>
    </row>
    <row r="25" spans="1:8" ht="24" customHeight="1">
      <c r="A25" s="63">
        <v>8</v>
      </c>
      <c r="B25" s="64" t="s">
        <v>29</v>
      </c>
      <c r="C25" s="17">
        <f>5936218+318600</f>
        <v>6254818</v>
      </c>
      <c r="D25" s="32">
        <f>2000000</f>
        <v>2000000</v>
      </c>
      <c r="E25" s="19">
        <v>0</v>
      </c>
      <c r="F25" s="33">
        <f>0</f>
        <v>0</v>
      </c>
      <c r="G25" s="33">
        <f>0</f>
        <v>0</v>
      </c>
      <c r="H25" s="20">
        <f>0</f>
        <v>0</v>
      </c>
    </row>
    <row r="26" spans="1:8" ht="27.75" customHeight="1">
      <c r="A26" s="15" t="s">
        <v>6</v>
      </c>
      <c r="B26" s="16" t="s">
        <v>30</v>
      </c>
      <c r="C26" s="17">
        <f>C25-C32</f>
        <v>4582847</v>
      </c>
      <c r="D26" s="18">
        <v>0</v>
      </c>
      <c r="E26" s="19">
        <v>0</v>
      </c>
      <c r="F26" s="19">
        <v>0</v>
      </c>
      <c r="G26" s="19">
        <v>0</v>
      </c>
      <c r="H26" s="65">
        <v>0</v>
      </c>
    </row>
    <row r="27" spans="1:8" ht="24" customHeight="1" thickBot="1">
      <c r="A27" s="66">
        <v>9</v>
      </c>
      <c r="B27" s="67" t="s">
        <v>31</v>
      </c>
      <c r="C27" s="23">
        <v>0</v>
      </c>
      <c r="D27" s="68">
        <v>0</v>
      </c>
      <c r="E27" s="69">
        <v>0</v>
      </c>
      <c r="F27" s="69">
        <v>0</v>
      </c>
      <c r="G27" s="69">
        <v>0</v>
      </c>
      <c r="H27" s="70">
        <v>0</v>
      </c>
    </row>
    <row r="28" spans="1:8" ht="24" customHeight="1" thickBot="1">
      <c r="A28" s="37">
        <v>10</v>
      </c>
      <c r="B28" s="38" t="s">
        <v>32</v>
      </c>
      <c r="C28" s="31">
        <v>0</v>
      </c>
      <c r="D28" s="146">
        <f>2164698</f>
        <v>2164698</v>
      </c>
      <c r="E28" s="71">
        <v>0</v>
      </c>
      <c r="F28" s="71">
        <v>0</v>
      </c>
      <c r="G28" s="71">
        <v>0</v>
      </c>
      <c r="H28" s="72">
        <v>0</v>
      </c>
    </row>
    <row r="29" spans="1:8" s="79" customFormat="1" ht="24" customHeight="1" thickBot="1">
      <c r="A29" s="73">
        <v>11</v>
      </c>
      <c r="B29" s="74" t="s">
        <v>33</v>
      </c>
      <c r="C29" s="75">
        <f aca="true" t="shared" si="4" ref="C29:H29">C25+C27+C28</f>
        <v>6254818</v>
      </c>
      <c r="D29" s="76">
        <f>D25+D27+D28</f>
        <v>4164698</v>
      </c>
      <c r="E29" s="76">
        <f>E25+E27+E28</f>
        <v>0</v>
      </c>
      <c r="F29" s="76">
        <f>F25+F27+F28</f>
        <v>0</v>
      </c>
      <c r="G29" s="77">
        <f t="shared" si="4"/>
        <v>0</v>
      </c>
      <c r="H29" s="78">
        <f t="shared" si="4"/>
        <v>0</v>
      </c>
    </row>
    <row r="30" spans="1:8" ht="24" customHeight="1">
      <c r="A30" s="80">
        <v>12</v>
      </c>
      <c r="B30" s="81" t="s">
        <v>34</v>
      </c>
      <c r="C30" s="82">
        <f>C8-C12+C33+C25+C27</f>
        <v>13804901</v>
      </c>
      <c r="D30" s="83">
        <f>(D8-(D12-D33))+D25+D27</f>
        <v>19645887</v>
      </c>
      <c r="E30" s="84">
        <f>(E8-(E12-E33))+E25+E27</f>
        <v>10879589</v>
      </c>
      <c r="F30" s="84">
        <f>(F8-(F12-F33))+F25+F27</f>
        <v>10409506</v>
      </c>
      <c r="G30" s="84">
        <f>(G8-(G12-G33))+G25+G27</f>
        <v>5026376</v>
      </c>
      <c r="H30" s="85">
        <f>(H8-(H12-H33))+H25+H27</f>
        <v>5004773</v>
      </c>
    </row>
    <row r="31" spans="1:8" ht="24" customHeight="1">
      <c r="A31" s="86">
        <v>13</v>
      </c>
      <c r="B31" s="64" t="s">
        <v>35</v>
      </c>
      <c r="C31" s="87">
        <f aca="true" t="shared" si="5" ref="C31:H31">C32+C33</f>
        <v>2171971</v>
      </c>
      <c r="D31" s="88">
        <f t="shared" si="5"/>
        <v>3060163</v>
      </c>
      <c r="E31" s="19">
        <f>E32+E33</f>
        <v>2879589</v>
      </c>
      <c r="F31" s="19">
        <f>F32+F33</f>
        <v>2909506</v>
      </c>
      <c r="G31" s="19">
        <f>G32+G33</f>
        <v>2639639</v>
      </c>
      <c r="H31" s="65">
        <f t="shared" si="5"/>
        <v>1979842</v>
      </c>
    </row>
    <row r="32" spans="1:8" ht="24" customHeight="1">
      <c r="A32" s="89" t="s">
        <v>6</v>
      </c>
      <c r="B32" s="16" t="s">
        <v>36</v>
      </c>
      <c r="C32" s="87">
        <f>1671971</f>
        <v>1671971</v>
      </c>
      <c r="D32" s="88">
        <v>2660163</v>
      </c>
      <c r="E32" s="19">
        <f>2038414+541175</f>
        <v>2579589</v>
      </c>
      <c r="F32" s="19">
        <f>2118331+541175</f>
        <v>2659506</v>
      </c>
      <c r="G32" s="19">
        <f>1948465+541174</f>
        <v>2489639</v>
      </c>
      <c r="H32" s="65">
        <f>1338668+541174</f>
        <v>1879842</v>
      </c>
    </row>
    <row r="33" spans="1:8" ht="24" customHeight="1">
      <c r="A33" s="89" t="s">
        <v>8</v>
      </c>
      <c r="B33" s="16" t="s">
        <v>37</v>
      </c>
      <c r="C33" s="87">
        <f>500000</f>
        <v>500000</v>
      </c>
      <c r="D33" s="88">
        <v>400000</v>
      </c>
      <c r="E33" s="19">
        <v>300000</v>
      </c>
      <c r="F33" s="19">
        <v>250000</v>
      </c>
      <c r="G33" s="19">
        <v>150000</v>
      </c>
      <c r="H33" s="65">
        <v>100000</v>
      </c>
    </row>
    <row r="34" spans="1:8" ht="24" customHeight="1" thickBot="1">
      <c r="A34" s="90">
        <v>14</v>
      </c>
      <c r="B34" s="91" t="s">
        <v>38</v>
      </c>
      <c r="C34" s="92">
        <v>0</v>
      </c>
      <c r="D34" s="93">
        <v>0</v>
      </c>
      <c r="E34" s="25">
        <v>0</v>
      </c>
      <c r="F34" s="25">
        <v>0</v>
      </c>
      <c r="G34" s="25">
        <v>0</v>
      </c>
      <c r="H34" s="94">
        <v>0</v>
      </c>
    </row>
    <row r="35" spans="1:8" ht="24" customHeight="1" thickBot="1">
      <c r="A35" s="73">
        <v>15</v>
      </c>
      <c r="B35" s="95" t="s">
        <v>39</v>
      </c>
      <c r="C35" s="75">
        <f aca="true" t="shared" si="6" ref="C35:H35">C32+C34</f>
        <v>1671971</v>
      </c>
      <c r="D35" s="76">
        <f t="shared" si="6"/>
        <v>2660163</v>
      </c>
      <c r="E35" s="77">
        <f t="shared" si="6"/>
        <v>2579589</v>
      </c>
      <c r="F35" s="77">
        <f t="shared" si="6"/>
        <v>2659506</v>
      </c>
      <c r="G35" s="77">
        <f t="shared" si="6"/>
        <v>2489639</v>
      </c>
      <c r="H35" s="78">
        <f t="shared" si="6"/>
        <v>1879842</v>
      </c>
    </row>
    <row r="36" spans="1:8" ht="24" customHeight="1" thickBot="1">
      <c r="A36" s="96">
        <v>16</v>
      </c>
      <c r="B36" s="97" t="s">
        <v>40</v>
      </c>
      <c r="C36" s="98">
        <f aca="true" t="shared" si="7" ref="C36:H36">C19-C20+C28</f>
        <v>0</v>
      </c>
      <c r="D36" s="99">
        <f t="shared" si="7"/>
        <v>0</v>
      </c>
      <c r="E36" s="100">
        <f>E19-E20+E28</f>
        <v>0</v>
      </c>
      <c r="F36" s="100">
        <f t="shared" si="7"/>
        <v>0</v>
      </c>
      <c r="G36" s="100">
        <f t="shared" si="7"/>
        <v>0</v>
      </c>
      <c r="H36" s="101">
        <f t="shared" si="7"/>
        <v>0</v>
      </c>
    </row>
    <row r="37" spans="1:8" ht="24" customHeight="1" thickBot="1">
      <c r="A37" s="152"/>
      <c r="B37" s="153"/>
      <c r="C37" s="153"/>
      <c r="D37" s="153"/>
      <c r="E37" s="153"/>
      <c r="F37" s="153"/>
      <c r="G37" s="153"/>
      <c r="H37" s="153"/>
    </row>
    <row r="38" spans="1:8" s="62" customFormat="1" ht="24" customHeight="1">
      <c r="A38" s="102">
        <v>17</v>
      </c>
      <c r="B38" s="28" t="s">
        <v>41</v>
      </c>
      <c r="C38" s="103">
        <v>11776012</v>
      </c>
      <c r="D38" s="147">
        <f>10104041+2164698</f>
        <v>12268739</v>
      </c>
      <c r="E38" s="148">
        <f>7443879+2164698-1</f>
        <v>9608576</v>
      </c>
      <c r="F38" s="148">
        <f>5405464+1623523</f>
        <v>7028987</v>
      </c>
      <c r="G38" s="148">
        <f>3287133+1082348</f>
        <v>4369481</v>
      </c>
      <c r="H38" s="149">
        <f>1338668+541174</f>
        <v>1879842</v>
      </c>
    </row>
    <row r="39" spans="1:8" ht="24" customHeight="1">
      <c r="A39" s="15" t="s">
        <v>6</v>
      </c>
      <c r="B39" s="16" t="s">
        <v>42</v>
      </c>
      <c r="C39" s="17">
        <v>6216004</v>
      </c>
      <c r="D39" s="32">
        <v>0</v>
      </c>
      <c r="E39" s="33">
        <v>0</v>
      </c>
      <c r="F39" s="33">
        <v>0</v>
      </c>
      <c r="G39" s="33">
        <v>0</v>
      </c>
      <c r="H39" s="20">
        <v>0</v>
      </c>
    </row>
    <row r="40" spans="1:8" ht="24" customHeight="1">
      <c r="A40" s="15" t="s">
        <v>8</v>
      </c>
      <c r="B40" s="16" t="s">
        <v>43</v>
      </c>
      <c r="C40" s="17">
        <v>0</v>
      </c>
      <c r="D40" s="32">
        <v>0</v>
      </c>
      <c r="E40" s="33">
        <v>0</v>
      </c>
      <c r="F40" s="33">
        <v>0</v>
      </c>
      <c r="G40" s="33">
        <v>0</v>
      </c>
      <c r="H40" s="20">
        <v>0</v>
      </c>
    </row>
    <row r="41" spans="1:8" ht="24.75" customHeight="1">
      <c r="A41" s="104">
        <v>18</v>
      </c>
      <c r="B41" s="64" t="s">
        <v>44</v>
      </c>
      <c r="C41" s="105" t="s">
        <v>45</v>
      </c>
      <c r="D41" s="106" t="s">
        <v>45</v>
      </c>
      <c r="E41" s="107" t="s">
        <v>45</v>
      </c>
      <c r="F41" s="108">
        <v>0</v>
      </c>
      <c r="G41" s="108">
        <v>0</v>
      </c>
      <c r="H41" s="109">
        <v>0</v>
      </c>
    </row>
    <row r="42" spans="1:8" ht="24" customHeight="1">
      <c r="A42" s="104">
        <v>19</v>
      </c>
      <c r="B42" s="64" t="s">
        <v>46</v>
      </c>
      <c r="C42" s="110" t="s">
        <v>28</v>
      </c>
      <c r="D42" s="111" t="s">
        <v>28</v>
      </c>
      <c r="E42" s="112" t="s">
        <v>28</v>
      </c>
      <c r="F42" s="113">
        <f>'[1]Arkusz2'!J11</f>
        <v>0.029134244393339264</v>
      </c>
      <c r="G42" s="113">
        <f>'[1]Arkusz2'!K11</f>
        <v>0.027225462506803428</v>
      </c>
      <c r="H42" s="113">
        <f>'[1]Arkusz2'!L11</f>
        <v>0.01977590453940475</v>
      </c>
    </row>
    <row r="43" spans="1:8" ht="24" customHeight="1">
      <c r="A43" s="104" t="s">
        <v>6</v>
      </c>
      <c r="B43" s="64" t="s">
        <v>47</v>
      </c>
      <c r="C43" s="110" t="s">
        <v>28</v>
      </c>
      <c r="D43" s="111" t="s">
        <v>28</v>
      </c>
      <c r="E43" s="112" t="s">
        <v>28</v>
      </c>
      <c r="F43" s="113">
        <f>'[1]Arkusz2'!J13</f>
        <v>0.029116313658305092</v>
      </c>
      <c r="G43" s="113">
        <f>'[1]Arkusz2'!K13</f>
        <v>0.053242399205729984</v>
      </c>
      <c r="H43" s="113">
        <f>'[1]Arkusz2'!L13</f>
        <v>0.04414777082373148</v>
      </c>
    </row>
    <row r="44" spans="1:8" ht="24.75" customHeight="1">
      <c r="A44" s="104">
        <v>20</v>
      </c>
      <c r="B44" s="114" t="s">
        <v>48</v>
      </c>
      <c r="C44" s="115" t="s">
        <v>28</v>
      </c>
      <c r="D44" s="116" t="s">
        <v>28</v>
      </c>
      <c r="E44" s="113" t="s">
        <v>28</v>
      </c>
      <c r="F44" s="116" t="s">
        <v>49</v>
      </c>
      <c r="G44" s="113" t="s">
        <v>49</v>
      </c>
      <c r="H44" s="117" t="s">
        <v>50</v>
      </c>
    </row>
    <row r="45" spans="1:8" ht="24" customHeight="1">
      <c r="A45" s="104">
        <v>21</v>
      </c>
      <c r="B45" s="64" t="s">
        <v>51</v>
      </c>
      <c r="C45" s="115">
        <f>'[2]Wlk.infor.'!G29</f>
        <v>0.0245368162219893</v>
      </c>
      <c r="D45" s="118">
        <f>'[2]Wlk.infor.'!H29</f>
        <v>0.03208231514538737</v>
      </c>
      <c r="E45" s="119">
        <f>'[2]Wlk.infor.'!I29</f>
        <v>0.026098867754098844</v>
      </c>
      <c r="F45" s="120" t="s">
        <v>28</v>
      </c>
      <c r="G45" s="121" t="s">
        <v>28</v>
      </c>
      <c r="H45" s="122" t="s">
        <v>28</v>
      </c>
    </row>
    <row r="46" spans="1:8" ht="24" customHeight="1" thickBot="1">
      <c r="A46" s="66">
        <v>22</v>
      </c>
      <c r="B46" s="67" t="s">
        <v>52</v>
      </c>
      <c r="C46" s="123">
        <f>(C38-C39)/C8</f>
        <v>0.06281156354702264</v>
      </c>
      <c r="D46" s="124">
        <f>(D38-D39)/D8</f>
        <v>0.13043305247477238</v>
      </c>
      <c r="E46" s="125">
        <f>(E38-E39)/E8</f>
        <v>0.11219798796508171</v>
      </c>
      <c r="F46" s="126" t="s">
        <v>28</v>
      </c>
      <c r="G46" s="126" t="s">
        <v>28</v>
      </c>
      <c r="H46" s="127" t="s">
        <v>28</v>
      </c>
    </row>
    <row r="47" spans="1:8" ht="24" customHeight="1" thickBot="1">
      <c r="A47" s="152"/>
      <c r="B47" s="153"/>
      <c r="C47" s="153"/>
      <c r="D47" s="153"/>
      <c r="E47" s="153"/>
      <c r="F47" s="153"/>
      <c r="G47" s="153"/>
      <c r="H47" s="153"/>
    </row>
    <row r="48" spans="1:5" ht="20.25" customHeight="1" thickBot="1">
      <c r="A48" s="6" t="s">
        <v>3</v>
      </c>
      <c r="B48" s="128" t="s">
        <v>4</v>
      </c>
      <c r="C48" s="128">
        <v>2011</v>
      </c>
      <c r="D48" s="128">
        <v>2012</v>
      </c>
      <c r="E48" s="128">
        <v>2013</v>
      </c>
    </row>
    <row r="49" spans="1:5" ht="27" customHeight="1">
      <c r="A49" s="129">
        <v>1</v>
      </c>
      <c r="B49" s="130" t="s">
        <v>53</v>
      </c>
      <c r="C49" s="131">
        <f>'[1]Arkusz2'!G12</f>
        <v>-0.028383024815276655</v>
      </c>
      <c r="D49" s="131">
        <f>'[1]Arkusz2'!H12</f>
        <v>0.043542762092663126</v>
      </c>
      <c r="E49" s="131">
        <f>'[1]Arkusz2'!I12</f>
        <v>0.0721892036975288</v>
      </c>
    </row>
    <row r="50" spans="1:5" ht="20.25" customHeight="1">
      <c r="A50" s="132">
        <v>2</v>
      </c>
      <c r="B50" s="133" t="s">
        <v>54</v>
      </c>
      <c r="C50" s="134">
        <f>'[1]Arkusz2'!G13</f>
        <v>0.09088745309693787</v>
      </c>
      <c r="D50" s="134">
        <f>'[1]Arkusz2'!H13</f>
        <v>0.05338979393438828</v>
      </c>
      <c r="E50" s="134">
        <f>'[1]Arkusz2'!I13</f>
        <v>0.047740905484948505</v>
      </c>
    </row>
    <row r="51" spans="1:5" ht="20.25" customHeight="1">
      <c r="A51" s="135">
        <v>3</v>
      </c>
      <c r="B51" s="133" t="s">
        <v>55</v>
      </c>
      <c r="C51" s="134">
        <f>'[1]Arkusz2'!G11</f>
        <v>0.0245368162219893</v>
      </c>
      <c r="D51" s="134">
        <f>'[1]Arkusz2'!H11</f>
        <v>0.032533612554668974</v>
      </c>
      <c r="E51" s="134">
        <f>'[1]Arkusz2'!I11</f>
        <v>0.03362455497738496</v>
      </c>
    </row>
    <row r="52" spans="1:5" ht="20.25" customHeight="1" thickBot="1">
      <c r="A52" s="136">
        <v>4</v>
      </c>
      <c r="B52" s="137" t="s">
        <v>56</v>
      </c>
      <c r="C52" s="138" t="b">
        <f>C51&lt;=C50</f>
        <v>1</v>
      </c>
      <c r="D52" s="138" t="b">
        <f>D51&lt;=D50</f>
        <v>1</v>
      </c>
      <c r="E52" s="138" t="b">
        <f>E51&lt;=E50</f>
        <v>1</v>
      </c>
    </row>
    <row r="53" ht="14.25" customHeight="1"/>
    <row r="54" ht="14.25" customHeight="1"/>
  </sheetData>
  <sheetProtection/>
  <mergeCells count="3">
    <mergeCell ref="A5:H5"/>
    <mergeCell ref="A37:H37"/>
    <mergeCell ref="A47:H47"/>
  </mergeCells>
  <printOptions/>
  <pageMargins left="0.75" right="0.75" top="1" bottom="1" header="0.5" footer="0.5"/>
  <pageSetup horizontalDpi="600" verticalDpi="600" orientation="landscape" paperSize="9" scale="54" r:id="rId1"/>
  <headerFooter alignWithMargins="0">
    <oddFooter>&amp;CStrona &amp;P</oddFoot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2011-07-14T10:05:59Z</cp:lastPrinted>
  <dcterms:created xsi:type="dcterms:W3CDTF">1997-02-26T13:46:56Z</dcterms:created>
  <dcterms:modified xsi:type="dcterms:W3CDTF">2011-07-14T10:07:07Z</dcterms:modified>
  <cp:category/>
  <cp:version/>
  <cp:contentType/>
  <cp:contentStatus/>
</cp:coreProperties>
</file>